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06" yWindow="65356" windowWidth="15600" windowHeight="5220" tabRatio="691" firstSheet="1" activeTab="1"/>
  </bookViews>
  <sheets>
    <sheet name="Лист1" sheetId="1" state="hidden" r:id="rId1"/>
    <sheet name="ОМ с имп.выходами" sheetId="2" r:id="rId2"/>
    <sheet name="ОМ с мех.регистраторами" sheetId="3" r:id="rId3"/>
    <sheet name="ЕМ" sheetId="4" r:id="rId4"/>
    <sheet name="MP" sheetId="5" r:id="rId5"/>
    <sheet name="турбинные ТР" sheetId="6" r:id="rId6"/>
    <sheet name="Лопастные  DP" sheetId="7" r:id="rId7"/>
    <sheet name="фильтры" sheetId="8" r:id="rId8"/>
    <sheet name="Регистраторы универсальные" sheetId="9" r:id="rId9"/>
    <sheet name="Регистраторы  панельные" sheetId="10" r:id="rId10"/>
    <sheet name="счетчик импульсный СИД" sheetId="11" r:id="rId11"/>
    <sheet name="расходомеры Cowell" sheetId="12" r:id="rId12"/>
    <sheet name="клапаны Cowell" sheetId="13" r:id="rId13"/>
    <sheet name="расходомеры серии LS " sheetId="14" r:id="rId14"/>
    <sheet name="Лист2" sheetId="15" r:id="rId15"/>
  </sheets>
  <definedNames>
    <definedName name="_xlnm.Print_Area" localSheetId="13">'расходомеры серии LS '!$A$1:$M$10</definedName>
  </definedNames>
  <calcPr fullCalcOnLoad="1"/>
</workbook>
</file>

<file path=xl/sharedStrings.xml><?xml version="1.0" encoding="utf-8"?>
<sst xmlns="http://schemas.openxmlformats.org/spreadsheetml/2006/main" count="1393" uniqueCount="843">
  <si>
    <t>OM004</t>
  </si>
  <si>
    <t>( 4mm )</t>
  </si>
  <si>
    <t>004</t>
  </si>
  <si>
    <t>OM006</t>
  </si>
  <si>
    <t>( 6mm )</t>
  </si>
  <si>
    <t>006</t>
  </si>
  <si>
    <t>OM008</t>
  </si>
  <si>
    <t>( 8mm )</t>
  </si>
  <si>
    <t>008</t>
  </si>
  <si>
    <t>OM015</t>
  </si>
  <si>
    <t>( 15mm )</t>
  </si>
  <si>
    <t>015</t>
  </si>
  <si>
    <t>OM025</t>
  </si>
  <si>
    <t>( 25mm )</t>
  </si>
  <si>
    <t>025</t>
  </si>
  <si>
    <t>OM040</t>
  </si>
  <si>
    <t>( 40mm )</t>
  </si>
  <si>
    <t>040</t>
  </si>
  <si>
    <t>OM050</t>
  </si>
  <si>
    <t>( 50mm )</t>
  </si>
  <si>
    <t>050</t>
  </si>
  <si>
    <t>050E</t>
  </si>
  <si>
    <t>OM080</t>
  </si>
  <si>
    <t>( 80mm )</t>
  </si>
  <si>
    <t>080</t>
  </si>
  <si>
    <t>080E</t>
  </si>
  <si>
    <t>OM100</t>
  </si>
  <si>
    <t>( 100mm )</t>
  </si>
  <si>
    <t>100</t>
  </si>
  <si>
    <t>100E</t>
  </si>
  <si>
    <t>A</t>
  </si>
  <si>
    <t>E</t>
  </si>
  <si>
    <t>S</t>
  </si>
  <si>
    <t>H</t>
  </si>
  <si>
    <t>D</t>
  </si>
  <si>
    <t xml:space="preserve"> </t>
  </si>
  <si>
    <t>-</t>
  </si>
  <si>
    <t xml:space="preserve"> M20 x 1.5mm</t>
  </si>
  <si>
    <t>00</t>
  </si>
  <si>
    <t>QP</t>
  </si>
  <si>
    <t>HR</t>
  </si>
  <si>
    <t>H1</t>
  </si>
  <si>
    <t>E1</t>
  </si>
  <si>
    <t>Q1</t>
  </si>
  <si>
    <t>B2</t>
  </si>
  <si>
    <t>B3</t>
  </si>
  <si>
    <t>R2</t>
  </si>
  <si>
    <t>R3</t>
  </si>
  <si>
    <t>R4</t>
  </si>
  <si>
    <t xml:space="preserve">2 stage DC batcher &amp; totaliser </t>
  </si>
  <si>
    <t>E0</t>
  </si>
  <si>
    <t>SB</t>
  </si>
  <si>
    <t>1.5 kg</t>
  </si>
  <si>
    <t>2.5 kg</t>
  </si>
  <si>
    <t>7 kg</t>
  </si>
  <si>
    <t>8.5 kg</t>
  </si>
  <si>
    <t>10.5 kg</t>
  </si>
  <si>
    <t>RL</t>
  </si>
  <si>
    <t>0.8 kg</t>
  </si>
  <si>
    <t>2.2 kg</t>
  </si>
  <si>
    <t>3 kg</t>
  </si>
  <si>
    <t>5 kg</t>
  </si>
  <si>
    <t>5.5 kg</t>
  </si>
  <si>
    <t>8 kg</t>
  </si>
  <si>
    <t>16 kg</t>
  </si>
  <si>
    <t>20 kg</t>
  </si>
  <si>
    <t>23 kg</t>
  </si>
  <si>
    <t>26 kg</t>
  </si>
  <si>
    <t>LR</t>
  </si>
  <si>
    <t>Материал корпуса</t>
  </si>
  <si>
    <t xml:space="preserve"> 1/4 дюйма        </t>
  </si>
  <si>
    <t xml:space="preserve"> 3/8 дюйма         </t>
  </si>
  <si>
    <t xml:space="preserve"> 1/2 дюйма          </t>
  </si>
  <si>
    <t xml:space="preserve"> 1 дюйм          </t>
  </si>
  <si>
    <t xml:space="preserve"> 1 1/2 дюйма    </t>
  </si>
  <si>
    <t xml:space="preserve"> 2 дюйма        </t>
  </si>
  <si>
    <t xml:space="preserve"> 3 дюйма</t>
  </si>
  <si>
    <t xml:space="preserve"> 2 дюйма, расширенный диапазон         </t>
  </si>
  <si>
    <t xml:space="preserve"> 3 дюйма, расширенный диапазон        </t>
  </si>
  <si>
    <t xml:space="preserve"> 4 дюйма            </t>
  </si>
  <si>
    <t xml:space="preserve"> 4 дюйма, расширенный диапазон</t>
  </si>
  <si>
    <t>Алюминий</t>
  </si>
  <si>
    <t>Чугун</t>
  </si>
  <si>
    <t>Материал ротора</t>
  </si>
  <si>
    <t>Алюминий (только для алюминиевых расходомеров)</t>
  </si>
  <si>
    <t>Тип подшипников</t>
  </si>
  <si>
    <t># Роликовые подшипники из закаленной стали (стандартно с алюминиевыми роторами)</t>
  </si>
  <si>
    <t>Материал уплотнительных колец (O-ring)</t>
  </si>
  <si>
    <r>
      <t>Витон (Viton) стандартно</t>
    </r>
    <r>
      <rPr>
        <i/>
        <sz val="7"/>
        <rFont val="Univers"/>
        <family val="2"/>
      </rPr>
      <t xml:space="preserve">, </t>
    </r>
    <r>
      <rPr>
        <sz val="8"/>
        <rFont val="Univers"/>
        <family val="0"/>
      </rPr>
      <t xml:space="preserve">-15~+120ºC </t>
    </r>
  </si>
  <si>
    <r>
      <t xml:space="preserve">Этилен-пропиленовая резина EPR </t>
    </r>
    <r>
      <rPr>
        <i/>
        <sz val="7"/>
        <rFont val="Univers"/>
        <family val="2"/>
      </rPr>
      <t xml:space="preserve"> -</t>
    </r>
    <r>
      <rPr>
        <sz val="8"/>
        <rFont val="Univers"/>
        <family val="2"/>
      </rPr>
      <t xml:space="preserve"> только для кетонов</t>
    </r>
  </si>
  <si>
    <t>Витон с тефлоновым покрытием - для специальных применений</t>
  </si>
  <si>
    <t>Рабочий диапазон температур</t>
  </si>
  <si>
    <r>
      <t>120ºC  max.</t>
    </r>
    <r>
      <rPr>
        <sz val="8"/>
        <rFont val="Univers"/>
        <family val="0"/>
      </rPr>
      <t xml:space="preserve">  </t>
    </r>
  </si>
  <si>
    <r>
      <t>Нитрильный каучук Буна-Н (Buna-N)</t>
    </r>
    <r>
      <rPr>
        <i/>
        <sz val="7"/>
        <rFont val="Univers"/>
        <family val="0"/>
      </rPr>
      <t>,</t>
    </r>
    <r>
      <rPr>
        <sz val="8"/>
        <rFont val="Univers"/>
        <family val="0"/>
      </rPr>
      <t xml:space="preserve"> -65~</t>
    </r>
    <r>
      <rPr>
        <i/>
        <sz val="8"/>
        <rFont val="Univers"/>
        <family val="0"/>
      </rPr>
      <t>+</t>
    </r>
    <r>
      <rPr>
        <sz val="8"/>
        <rFont val="Univers"/>
        <family val="0"/>
      </rPr>
      <t xml:space="preserve">120ºC </t>
    </r>
  </si>
  <si>
    <r>
      <t xml:space="preserve">* 120ºC max.  </t>
    </r>
    <r>
      <rPr>
        <i/>
        <sz val="8"/>
        <rFont val="Univers"/>
        <family val="0"/>
      </rPr>
      <t>( со встроенными ребрами охлаждения )</t>
    </r>
    <r>
      <rPr>
        <sz val="8"/>
        <rFont val="Univers"/>
        <family val="2"/>
      </rPr>
      <t xml:space="preserve"> </t>
    </r>
  </si>
  <si>
    <t>Технологическое соединение</t>
  </si>
  <si>
    <t>Нормальная внутренняя трубная резьба (NPT)</t>
  </si>
  <si>
    <t xml:space="preserve"> ANSI-150 RF фланцы</t>
  </si>
  <si>
    <t xml:space="preserve"> ANSI-300 RF фланцы</t>
  </si>
  <si>
    <t xml:space="preserve"> PN16 DIN фланцы</t>
  </si>
  <si>
    <t>Назначаемая покупателем</t>
  </si>
  <si>
    <t>Кабельные вводы</t>
  </si>
  <si>
    <t xml:space="preserve"> 3~6mm кабельное уплотнение или без кабельного ввода</t>
  </si>
  <si>
    <t xml:space="preserve"> Встроенные опции</t>
  </si>
  <si>
    <t>нет</t>
  </si>
  <si>
    <t xml:space="preserve"> 1/2 дюйма NPT-адаптер</t>
  </si>
  <si>
    <t>Импульсный выход высокого разрешения на датчике Холла</t>
  </si>
  <si>
    <t>* BT11 сумматор с импульсным выходом</t>
  </si>
  <si>
    <t>* RT12 сумматор расхода со всеми выходами</t>
  </si>
  <si>
    <t>* EB10 дозирующий контроллер</t>
  </si>
  <si>
    <t>Особые требования к конструкции</t>
  </si>
  <si>
    <t xml:space="preserve"> Алюминиевый фильтр, соединенный с расходомером</t>
  </si>
  <si>
    <t>стальные расходомеры</t>
  </si>
  <si>
    <t>алюминиевые расходомеры</t>
  </si>
  <si>
    <t>0.5~36 л/час</t>
  </si>
  <si>
    <t>2~100 л/час</t>
  </si>
  <si>
    <t>15~550 л/час</t>
  </si>
  <si>
    <t>1~40 л/мин</t>
  </si>
  <si>
    <t>10~150 л/мин</t>
  </si>
  <si>
    <t>10~250 л/мин</t>
  </si>
  <si>
    <t>30~450 л/мин</t>
  </si>
  <si>
    <t>35~580 л/мин</t>
  </si>
  <si>
    <t>35~750 л/мин</t>
  </si>
  <si>
    <t>50~1000 л/мин</t>
  </si>
  <si>
    <t>75~1500 л/мин</t>
  </si>
  <si>
    <t>150~2500 л/мин</t>
  </si>
  <si>
    <t>БАЗОВАЯ ЦЕНА</t>
  </si>
  <si>
    <t>Включенные электронные инструменты</t>
  </si>
  <si>
    <t>Алюминиевый фильтр-воздухоудалитель, соединенный с расходомером</t>
  </si>
  <si>
    <t xml:space="preserve">  Поток справа налево (для опций 1~3)</t>
  </si>
  <si>
    <t xml:space="preserve">  Поток слева направо (для опций 1~3)</t>
  </si>
  <si>
    <t>Приблизительный брутто-вес для базовых исполнений</t>
  </si>
  <si>
    <t>проконсультируйтесь с изготовителем</t>
  </si>
  <si>
    <t>определяется индивидуально после консультации с изготовителем</t>
  </si>
  <si>
    <t xml:space="preserve">                   Пример определения номера модели</t>
  </si>
  <si>
    <t>OM006 = 4200 имп/литр</t>
  </si>
  <si>
    <t xml:space="preserve">  одобрено IECEX и ATEX</t>
  </si>
  <si>
    <t xml:space="preserve">   одобрено IECEX и ATEX</t>
  </si>
  <si>
    <t>с масштабируемым импульсным выходом</t>
  </si>
  <si>
    <t xml:space="preserve">масштабируемый выход, аварийные сигналы, токовый выход 4~20mA </t>
  </si>
  <si>
    <t>масштабируемые импульсы + задняя подсветка</t>
  </si>
  <si>
    <t xml:space="preserve"> * Температурный код 5 используется со встроенным LCD instruments когда рабочая температура  резко колеблется  между 80ºC ~120ºC </t>
  </si>
  <si>
    <t>#  подшипники по коду 4 подходят только для масел и топлив со смазывающими свойствами</t>
  </si>
  <si>
    <t>Алюминий  (только для ОМ50Е,ОМ80Е, ОМ100Е)</t>
  </si>
  <si>
    <t xml:space="preserve">Нержавеющая сталь 316L </t>
  </si>
  <si>
    <r>
      <t xml:space="preserve">Нержавеющая сталь </t>
    </r>
    <r>
      <rPr>
        <i/>
        <sz val="8"/>
        <rFont val="Arial"/>
        <family val="2"/>
      </rPr>
      <t>(все OM004~008 расходомеры и все модели из нержавеющей стали)</t>
    </r>
  </si>
  <si>
    <t>Дополнительные опции к расходомеру</t>
  </si>
  <si>
    <t>Опции 1 и 2 соединенные с расходомером</t>
  </si>
  <si>
    <r>
      <t xml:space="preserve">Квадратурный импульс </t>
    </r>
    <r>
      <rPr>
        <i/>
        <sz val="9"/>
        <rFont val="Calibri"/>
        <family val="2"/>
      </rPr>
      <t>(2 NPN фазированных импульса)</t>
    </r>
  </si>
  <si>
    <r>
      <t>* Искробезопасное исполнение</t>
    </r>
    <r>
      <rPr>
        <i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BT11 с импульсным выходом</t>
    </r>
  </si>
  <si>
    <r>
      <t>* Искробезопасное исполнение</t>
    </r>
    <r>
      <rPr>
        <i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RT12 со всеми выходами</t>
    </r>
  </si>
  <si>
    <t xml:space="preserve">   Направление потока для дополнительных опций к расходомеру</t>
  </si>
  <si>
    <t>ООО "Дарконт"</t>
  </si>
  <si>
    <t>Размер</t>
  </si>
  <si>
    <t xml:space="preserve">Обратный клапан </t>
  </si>
  <si>
    <t xml:space="preserve">Фильтр-воздухоудалитель </t>
  </si>
  <si>
    <t>Спецобработка алюминиевых шестерен  для жидкостей с высокой вязкостью</t>
  </si>
  <si>
    <t>Спецобработка стальных шестерен  для жидкостей с высокой вязкостью</t>
  </si>
  <si>
    <t>ДОПОЛНИТЕЛЬНАЯ НАЦЕНКА</t>
  </si>
  <si>
    <t xml:space="preserve">1/8 дюйма         </t>
  </si>
  <si>
    <t>Керамика (стандартно с роторами из нержавеющей стали)</t>
  </si>
  <si>
    <t>Британская стандартная внутренняя резьба (BSP)*</t>
  </si>
  <si>
    <t>*Нормальная внутренняя трубная резьба (NPT)</t>
  </si>
  <si>
    <t xml:space="preserve"> кабельный ввод M20 x 1.5mm с трехметровым кабелем</t>
  </si>
  <si>
    <t>(цены указаны в  рублях со склада в Москве, без НДС)</t>
  </si>
  <si>
    <t>http://darkont.ru</t>
  </si>
  <si>
    <t xml:space="preserve">Расходомеры с овальными шестернями серии ОМ с механическими регистраторами </t>
  </si>
  <si>
    <t xml:space="preserve"> 1/2 дюйм </t>
  </si>
  <si>
    <t>1 дюйм</t>
  </si>
  <si>
    <t xml:space="preserve"> 2 дюйма       </t>
  </si>
  <si>
    <t xml:space="preserve"> 2 дюйма с   расширенным диапазоном      </t>
  </si>
  <si>
    <t xml:space="preserve"> 3 дюйма с   расширенным диапазоном                </t>
  </si>
  <si>
    <t xml:space="preserve"> 4 дюйма  </t>
  </si>
  <si>
    <t xml:space="preserve"> 4 дюйма с   расширенным диапазоном         </t>
  </si>
  <si>
    <t>Базовая цена</t>
  </si>
  <si>
    <t xml:space="preserve">Алюминий                       </t>
  </si>
  <si>
    <t>Алюминиевая версия для расширенного диапазона (только для ОМ50Е,ОМ80Е, ОМ100Е)</t>
  </si>
  <si>
    <t xml:space="preserve"> Нержавеющая сталь 316L </t>
  </si>
  <si>
    <t>Дополнительная наценка</t>
  </si>
  <si>
    <t>Нержавеющая сталь   ( стандартно во всех моделях из нержавеющей стали)</t>
  </si>
  <si>
    <t>Спецобработка (keishi) зубцов алюминиевых роторов  для жидкостей с высокой вязкостью</t>
  </si>
  <si>
    <t xml:space="preserve"> Спецобработка (keishi) зубцов стальных роторов  для жидкостей с высокой вязкостью</t>
  </si>
  <si>
    <t>Материал подшипника</t>
  </si>
  <si>
    <t>Керамика (стандартно для ротора из нержавеющей стали)</t>
  </si>
  <si>
    <t>Роликовые подшипники из закаленной стали (только с алюминиевыми роторами)</t>
  </si>
  <si>
    <t xml:space="preserve">Витон (Viton) стандартно, -15~+120ºC </t>
  </si>
  <si>
    <t>Этилен-пропиленовая резина EPR  - только для кетонов</t>
  </si>
  <si>
    <t>Нитрильный каучук Буна-Н (Buna-N), -65~+120ºC</t>
  </si>
  <si>
    <t>*120ºC  максимально</t>
  </si>
  <si>
    <t>Технологические соединения</t>
  </si>
  <si>
    <t xml:space="preserve"> Нормальная внутренняя трубная резьба (NPT)</t>
  </si>
  <si>
    <t>ANSI-300 RF фланцы</t>
  </si>
  <si>
    <t>Назначаемые покупателем</t>
  </si>
  <si>
    <t>нет кабельных вводов</t>
  </si>
  <si>
    <t>Размерность сумматора</t>
  </si>
  <si>
    <t>OM015~025</t>
  </si>
  <si>
    <t>OM040~100</t>
  </si>
  <si>
    <t>Встроенные опции</t>
  </si>
  <si>
    <t>( Механические регистраторы )</t>
  </si>
  <si>
    <t>9999.9 литров</t>
  </si>
  <si>
    <t>99999 литров</t>
  </si>
  <si>
    <t>M3</t>
  </si>
  <si>
    <t>4 -х цифровой механический сумматор (литры)</t>
  </si>
  <si>
    <t>Регистраторы исполнения VR (Veeder Root) - все, включая  90° угловой переходник с согласующим устройством</t>
  </si>
  <si>
    <t>999999 литров</t>
  </si>
  <si>
    <t>V1</t>
  </si>
  <si>
    <r>
      <t>5-и цифровой VR7887 механический обнуляемый счетчик -</t>
    </r>
    <r>
      <rPr>
        <i/>
        <sz val="8"/>
        <color indexed="8"/>
        <rFont val="Arial"/>
        <family val="2"/>
      </rPr>
      <t xml:space="preserve"> литры</t>
    </r>
  </si>
  <si>
    <t>V3</t>
  </si>
  <si>
    <r>
      <t>5-и цифровой VR7887 счетчик + 7888 принтер квитанций-</t>
    </r>
    <r>
      <rPr>
        <i/>
        <sz val="8"/>
        <color indexed="8"/>
        <rFont val="Arial"/>
        <family val="2"/>
      </rPr>
      <t xml:space="preserve"> литры</t>
    </r>
  </si>
  <si>
    <t>V5</t>
  </si>
  <si>
    <r>
      <t>5-цифровой VR7887 счетчик+ 788901 счетчик-дозатор с предустановкой  -</t>
    </r>
    <r>
      <rPr>
        <i/>
        <sz val="8"/>
        <color indexed="8"/>
        <rFont val="Arial"/>
        <family val="2"/>
      </rPr>
      <t xml:space="preserve"> литры</t>
    </r>
  </si>
  <si>
    <t>V7</t>
  </si>
  <si>
    <t>5-и цифровой VR7887 счетчик + 788901 предустановка + 7888 принтер - литры</t>
  </si>
  <si>
    <t>требуется консультация с изготовителем</t>
  </si>
  <si>
    <t>Дополнительные опции</t>
  </si>
  <si>
    <r>
      <t xml:space="preserve">Фильтры-воздухоудалители </t>
    </r>
    <r>
      <rPr>
        <b/>
        <sz val="8"/>
        <color indexed="12"/>
        <rFont val="Univers"/>
        <family val="0"/>
      </rPr>
      <t xml:space="preserve"> </t>
    </r>
  </si>
  <si>
    <t>Обратный дисковый клапан внутри входного фланца расходомера</t>
  </si>
  <si>
    <t xml:space="preserve"> Опции 1 и 2 соединенные с расходомером</t>
  </si>
  <si>
    <t>Дисковый предохранительный клапан обратного давления внутрифланцевого исполнения + VR генератор импульсов</t>
  </si>
  <si>
    <t>фильтр-воздухоудалитель + VR генератор импульсов</t>
  </si>
  <si>
    <t>Дополнительные опции 1 и 2 (см. выше) + VR генератор импульсов</t>
  </si>
  <si>
    <r>
      <t>VR квадратурный генератор импульсов</t>
    </r>
    <r>
      <rPr>
        <i/>
        <sz val="8"/>
        <color indexed="8"/>
        <rFont val="Univers"/>
        <family val="0"/>
      </rPr>
      <t xml:space="preserve"> (100 импульсов/оборот)</t>
    </r>
  </si>
  <si>
    <t xml:space="preserve">Алюминиевый фильтр соединенный с расходомером </t>
  </si>
  <si>
    <t>Опциональный контрольный клапан  (присоединенный)</t>
  </si>
  <si>
    <t>V</t>
  </si>
  <si>
    <t>Механический контрольный клапан + соединительные устройства для монтажа на расходомер</t>
  </si>
  <si>
    <t>Приблизительный брутто вес (только для базовых исполнений)</t>
  </si>
  <si>
    <t xml:space="preserve">                   Пример определения номера модели расходомера</t>
  </si>
  <si>
    <t xml:space="preserve">Стальные расходомеры </t>
  </si>
  <si>
    <t>M2</t>
  </si>
  <si>
    <t>Алюминиевые расходомеры</t>
  </si>
  <si>
    <t xml:space="preserve"> Направление потока для смонтированных дополнительных опций</t>
  </si>
  <si>
    <r>
      <t xml:space="preserve">  Поток справа налево </t>
    </r>
    <r>
      <rPr>
        <i/>
        <sz val="7"/>
        <rFont val="Univers"/>
        <family val="0"/>
      </rPr>
      <t>( для доп. опций 1~6 )</t>
    </r>
  </si>
  <si>
    <r>
      <t xml:space="preserve">  Поток слева направо </t>
    </r>
    <r>
      <rPr>
        <i/>
        <sz val="8"/>
        <rFont val="Univers"/>
        <family val="0"/>
      </rPr>
      <t xml:space="preserve"> </t>
    </r>
    <r>
      <rPr>
        <i/>
        <sz val="7"/>
        <rFont val="Univers"/>
        <family val="0"/>
      </rPr>
      <t>( для доп. опций 1~6 )</t>
    </r>
  </si>
  <si>
    <t>* Резьба BSP взаимозаменяема с резьбой отечественного стандарта ГОСТ 6357-81</t>
  </si>
  <si>
    <t>(цены указаны в  рублях  со склада в Москве, без НДС)</t>
  </si>
  <si>
    <t>EM006</t>
  </si>
  <si>
    <t>EM008</t>
  </si>
  <si>
    <r>
      <t xml:space="preserve">Нержавеющая сталь </t>
    </r>
    <r>
      <rPr>
        <i/>
        <sz val="8"/>
        <rFont val="Arial"/>
        <family val="2"/>
      </rPr>
      <t>(все EM004~008 расходомеры и все модели из нержавеющей стали)</t>
    </r>
  </si>
  <si>
    <t>Британская стандартная внутренняя резьба (BSP) *</t>
  </si>
  <si>
    <t xml:space="preserve"> разъем в корпусе DIN c  кабельным уплотнением 3-6 мм</t>
  </si>
  <si>
    <t xml:space="preserve">герметичная крышка с трехметровым кабелем </t>
  </si>
  <si>
    <t xml:space="preserve">разъем в корпусе DIN с трехметровым кабелем </t>
  </si>
  <si>
    <t>0.45 kg</t>
  </si>
  <si>
    <t>ЕМ008</t>
  </si>
  <si>
    <t>Расходомеры МР - многоимпульсные расходомеры с вращающимся поршнем</t>
  </si>
  <si>
    <t>расход  л/мин</t>
  </si>
  <si>
    <t>МР010</t>
  </si>
  <si>
    <t>10 мм</t>
  </si>
  <si>
    <t>0,2~10</t>
  </si>
  <si>
    <t>корпус только из PVDF (поливинилиденфторид)</t>
  </si>
  <si>
    <t>МР015</t>
  </si>
  <si>
    <t>15 мм</t>
  </si>
  <si>
    <t>корпус только из алюминия или нержавеющей стали</t>
  </si>
  <si>
    <t>МР020</t>
  </si>
  <si>
    <t>20 мм</t>
  </si>
  <si>
    <t>2~50</t>
  </si>
  <si>
    <t xml:space="preserve">корпус только из PVDF (поливинилиденфторид) </t>
  </si>
  <si>
    <t>МР025</t>
  </si>
  <si>
    <t>25 мм</t>
  </si>
  <si>
    <t>МР040</t>
  </si>
  <si>
    <t>40 мм</t>
  </si>
  <si>
    <t>4~140</t>
  </si>
  <si>
    <t>МР050</t>
  </si>
  <si>
    <t>50 мм</t>
  </si>
  <si>
    <t xml:space="preserve">12~330 </t>
  </si>
  <si>
    <t>Нержавеющая сталь 316SS</t>
  </si>
  <si>
    <t>Нержавеющая сталь 316SS для высокого давления (МР 015=350 bar, MP 025=200 bar, MP 040=250 bar)</t>
  </si>
  <si>
    <t>P</t>
  </si>
  <si>
    <t>UPVC (НПВХ) сверхкислотозащищенная серия (SAP)- для давления 5 bar (75 PSI, 40°C макс.)</t>
  </si>
  <si>
    <t>Материал поршня</t>
  </si>
  <si>
    <t>Цена дополнительных опций</t>
  </si>
  <si>
    <t>PEEK (полиэфирэфиркетон) - поршень, опция для всех расходомеров -для температур до 150°C при корпусе PVDF -до 60°C</t>
  </si>
  <si>
    <t>PRTFE (тефлон) -стандартная комплектация для всех расходомеров (36% наполненный карбоном) - для температур до 120°C</t>
  </si>
  <si>
    <t>­</t>
  </si>
  <si>
    <t>Материал разделительной перегородки</t>
  </si>
  <si>
    <t>Керамика</t>
  </si>
  <si>
    <t>316L нержавеющая сталь (стандартная  комплектация для расходомеров со стальным и алюминиевым корпусом)</t>
  </si>
  <si>
    <t>UPVC - стандартная комплектация только для расходомеров с корпусом из UPVC</t>
  </si>
  <si>
    <t>Материал уплотнительного кольца (O-ring)</t>
  </si>
  <si>
    <t>Витон (Viton) - стандартная комплектация</t>
  </si>
  <si>
    <t>EPR (этилен-пропиленовый каучук)-только для кетонов</t>
  </si>
  <si>
    <t>Витон в оболочке из тефлона -для специальных приложений</t>
  </si>
  <si>
    <t>Буна -Н (нитрильная резина) - ­65°С ~ +125°С</t>
  </si>
  <si>
    <t>­40°C ~ + 60°C</t>
  </si>
  <si>
    <t>+ 120°C максимум</t>
  </si>
  <si>
    <t>+ 150°C максимум (PEEK-поршень и NPN выход на датчике Холла)</t>
  </si>
  <si>
    <t>* + 120°C максимум (при использовании охлаждающего радиатора)</t>
  </si>
  <si>
    <t>+ 200°C максимум (корпус из нерж. стали, алюминиевый корпус, выход с магнитоиндуктивной катушки)</t>
  </si>
  <si>
    <t>*  - ACF охлаждающий радиатор используется с встроенным регистратором, если рабочая температура колеблется в диапазоне 80°C ~ 120°C</t>
  </si>
  <si>
    <t>Способ технологического соединения</t>
  </si>
  <si>
    <t>**-муфта с тройной фиксацией на 1/2" больше, чем  размер расходомера</t>
  </si>
  <si>
    <t>** -  гигиенические соединительные муфты с тройной фиксацией</t>
  </si>
  <si>
    <t>ANSI -150 RF фланцы</t>
  </si>
  <si>
    <t xml:space="preserve">PN16 DIN фланцы </t>
  </si>
  <si>
    <t>назначаемое пользователем (см. опцию SB ниже)</t>
  </si>
  <si>
    <t>необходима консультация изготовителя</t>
  </si>
  <si>
    <t>только для МР 010 и В2 или В3 опций (см. ниже)</t>
  </si>
  <si>
    <t>3 ~ 6 мм кабельный уплотняющий переходник</t>
  </si>
  <si>
    <t>М20х1,5мм</t>
  </si>
  <si>
    <t xml:space="preserve">1/2 дюймовый NPT </t>
  </si>
  <si>
    <t>Встроенные опции (не используется с МР010)</t>
  </si>
  <si>
    <t>GRN - нейлон, армированный стеклом</t>
  </si>
  <si>
    <t>SS</t>
  </si>
  <si>
    <t>Стальная крышка терминала</t>
  </si>
  <si>
    <t>Квадратурный импульс (2 NPN фазированных выхода с открытым коллектором)</t>
  </si>
  <si>
    <t xml:space="preserve">одобрено IECEX и ATEX </t>
  </si>
  <si>
    <t>Взрывозащищенное исполнение Exd [1]</t>
  </si>
  <si>
    <t>Exd с QP (2 NPN фазированных выхода с открытым коллектором) [1]</t>
  </si>
  <si>
    <t>ВТ11 двухстрочный сумматор с выходом [2]</t>
  </si>
  <si>
    <t>Искробезопасное исполнение BT11, в том числе выход [2]</t>
  </si>
  <si>
    <t>масштабированный импульс, сигналы тревоги и токовый выход 4~20мА</t>
  </si>
  <si>
    <t>RT12 сумматор потока со всеми выходами [2]</t>
  </si>
  <si>
    <t>Искробезопасное исполнение RT12, со всеми выходами [2]</t>
  </si>
  <si>
    <t>масштабированный импульс и подсветка фона дисплея</t>
  </si>
  <si>
    <t>Двухступенчатый дозатор и сумматор с питанием = током</t>
  </si>
  <si>
    <t>EB10 Ecobatch одно- или двухступенчатый контроллер дозирования с питанием  пост. током</t>
  </si>
  <si>
    <t>FI</t>
  </si>
  <si>
    <t>Специальная конфигурация [3]</t>
  </si>
  <si>
    <t>БРУТТО ВЕС (кг) (для комплектаций с резьбовым соединением)</t>
  </si>
  <si>
    <t>Расходомеры со стальным корпусом</t>
  </si>
  <si>
    <t>Алюминиевый и PVC корпус</t>
  </si>
  <si>
    <t>ПРИМЕР ВЫБОРА МОДЕЛИ</t>
  </si>
  <si>
    <t>МР 015</t>
  </si>
  <si>
    <t>Примечание</t>
  </si>
  <si>
    <t>1)</t>
  </si>
  <si>
    <t>Взрывозащищенное исполнение Exd не используется с корпусом  расходомеров из PVC</t>
  </si>
  <si>
    <t>2)</t>
  </si>
  <si>
    <r>
      <t>Температурный код 5 обязателен со встроенными LCD - инструментами когда диапазон рабочих температур от 80</t>
    </r>
    <r>
      <rPr>
        <sz val="9"/>
        <color indexed="8"/>
        <rFont val="Calibri"/>
        <family val="2"/>
      </rPr>
      <t>°</t>
    </r>
    <r>
      <rPr>
        <sz val="9"/>
        <color indexed="8"/>
        <rFont val="Times New Roman"/>
        <family val="1"/>
      </rPr>
      <t>С до 120</t>
    </r>
    <r>
      <rPr>
        <sz val="9"/>
        <color indexed="8"/>
        <rFont val="Calibri"/>
        <family val="2"/>
      </rPr>
      <t>°</t>
    </r>
    <r>
      <rPr>
        <sz val="9"/>
        <color indexed="8"/>
        <rFont val="Times New Roman"/>
        <family val="1"/>
      </rPr>
      <t>С</t>
    </r>
  </si>
  <si>
    <t>Зависимость импульсного выхода от потока (номинальные значения)</t>
  </si>
  <si>
    <t>м3/час</t>
  </si>
  <si>
    <t>милливольт</t>
  </si>
  <si>
    <t>имп / литр</t>
  </si>
  <si>
    <t>частота</t>
  </si>
  <si>
    <t>TP010</t>
  </si>
  <si>
    <t>1/2"</t>
  </si>
  <si>
    <t>DN15</t>
  </si>
  <si>
    <t>0,11-1,1</t>
  </si>
  <si>
    <t>100 - 1000</t>
  </si>
  <si>
    <t>120 - 1200</t>
  </si>
  <si>
    <t>MEA010</t>
  </si>
  <si>
    <t>(номер запчасти  для комплектующих измерительных инструментов)</t>
  </si>
  <si>
    <t>TP012</t>
  </si>
  <si>
    <t>3/4"</t>
  </si>
  <si>
    <t>DN20</t>
  </si>
  <si>
    <t>0,22-2,2</t>
  </si>
  <si>
    <t>110 - 1100</t>
  </si>
  <si>
    <t>104 - 1040</t>
  </si>
  <si>
    <t>MEA012</t>
  </si>
  <si>
    <t>TP015</t>
  </si>
  <si>
    <t>130 - 1300</t>
  </si>
  <si>
    <t>MEA015</t>
  </si>
  <si>
    <t>(см. ниже запчасти )</t>
  </si>
  <si>
    <t>TP020</t>
  </si>
  <si>
    <t>0,8-8</t>
  </si>
  <si>
    <t>90 - 900</t>
  </si>
  <si>
    <t>MEA020</t>
  </si>
  <si>
    <t>TP025</t>
  </si>
  <si>
    <t>1"</t>
  </si>
  <si>
    <t>DN25</t>
  </si>
  <si>
    <t>1,6-16</t>
  </si>
  <si>
    <t>80 - 800</t>
  </si>
  <si>
    <t>TP040</t>
  </si>
  <si>
    <r>
      <t xml:space="preserve">1 </t>
    </r>
    <r>
      <rPr>
        <sz val="8"/>
        <color indexed="8"/>
        <rFont val="Times New Roman"/>
        <family val="1"/>
      </rPr>
      <t>1/2</t>
    </r>
    <r>
      <rPr>
        <sz val="9"/>
        <color indexed="8"/>
        <rFont val="Times New Roman"/>
        <family val="1"/>
      </rPr>
      <t>"</t>
    </r>
  </si>
  <si>
    <t>DN40</t>
  </si>
  <si>
    <t>3,4-34</t>
  </si>
  <si>
    <t>65 - 650</t>
  </si>
  <si>
    <t>57 - 570</t>
  </si>
  <si>
    <t>TP050</t>
  </si>
  <si>
    <t>2"</t>
  </si>
  <si>
    <t>DN50</t>
  </si>
  <si>
    <t>6,8-68</t>
  </si>
  <si>
    <t>50 - 500</t>
  </si>
  <si>
    <t>45 - 450</t>
  </si>
  <si>
    <t>TP080</t>
  </si>
  <si>
    <t>3"</t>
  </si>
  <si>
    <t>DN80</t>
  </si>
  <si>
    <t>13,5-135</t>
  </si>
  <si>
    <t>56 - 560</t>
  </si>
  <si>
    <t>TP100</t>
  </si>
  <si>
    <t>4"</t>
  </si>
  <si>
    <t>DN100</t>
  </si>
  <si>
    <t>27-270</t>
  </si>
  <si>
    <t>60 - 600</t>
  </si>
  <si>
    <t>TP150</t>
  </si>
  <si>
    <t>6"</t>
  </si>
  <si>
    <t>DN150</t>
  </si>
  <si>
    <t>55-550</t>
  </si>
  <si>
    <t>40 - 400</t>
  </si>
  <si>
    <t>35 - 350</t>
  </si>
  <si>
    <t>150</t>
  </si>
  <si>
    <t>TP200+</t>
  </si>
  <si>
    <t>8~20"</t>
  </si>
  <si>
    <t>DN200 - DN500</t>
  </si>
  <si>
    <t xml:space="preserve">БАЗОВАЯ ЦЕНА </t>
  </si>
  <si>
    <t>ЦЕНА ДОПОЛНИТЕЛЬНЫХ ОПЦИЙ</t>
  </si>
  <si>
    <t>Нержавеющая сталь 316SS до 250 bar</t>
  </si>
  <si>
    <t>Нержавеющая сталь для высокого давления  до 400 bar</t>
  </si>
  <si>
    <t xml:space="preserve">Резьбовое отверстие с британской трубной резьбой BSP </t>
  </si>
  <si>
    <t>Резьбовое отверстие с метрической трубной резьбой NPT</t>
  </si>
  <si>
    <t>*    соединительные муфты с тройной фиксацией (нержавеющая сталь 316SS)</t>
  </si>
  <si>
    <t>ANSI - 300 RF фланцы</t>
  </si>
  <si>
    <t>ANSI - 150 RF фланцы</t>
  </si>
  <si>
    <t>PN10 DIN фланцы</t>
  </si>
  <si>
    <t>PN15 DIN фланцы</t>
  </si>
  <si>
    <t>PN25 DIN фланцы</t>
  </si>
  <si>
    <t>назначаемый пользователем тип соединения (под кодом опции SB)</t>
  </si>
  <si>
    <t>* муфта с тройной фиксацией на 1/2" больше, чем  размер расходомера</t>
  </si>
  <si>
    <t>Материалы технологического соединения</t>
  </si>
  <si>
    <t>T</t>
  </si>
  <si>
    <t>резьбовое отверстие в нержавеющей стали (как в материале корпуса)</t>
  </si>
  <si>
    <t>C</t>
  </si>
  <si>
    <t>Фланцы из высокоуглеродистой стали</t>
  </si>
  <si>
    <t>Технологические соединения из нержавеющей стали 316SS</t>
  </si>
  <si>
    <t xml:space="preserve">Количество датчиков </t>
  </si>
  <si>
    <t>один</t>
  </si>
  <si>
    <r>
      <t>два со смещением электрического сигнала 90</t>
    </r>
    <r>
      <rPr>
        <sz val="9"/>
        <color indexed="8"/>
        <rFont val="Calibri"/>
        <family val="2"/>
      </rPr>
      <t>°</t>
    </r>
    <r>
      <rPr>
        <sz val="9"/>
        <color indexed="8"/>
        <rFont val="Times New Roman"/>
        <family val="1"/>
      </rPr>
      <t xml:space="preserve"> (для размеров от ТР100 и больше)</t>
    </r>
  </si>
  <si>
    <t>не применяется</t>
  </si>
  <si>
    <t>Исполнение датчиков</t>
  </si>
  <si>
    <t>MS (военный стиль) -  соединитель</t>
  </si>
  <si>
    <t>FL ( не разделанный в разъем кабель) (применяется для встроенных опций)</t>
  </si>
  <si>
    <t>Тип  датчиков (для MS и FL, исключая отмеченные)</t>
  </si>
  <si>
    <r>
      <t>Стандартный (120</t>
    </r>
    <r>
      <rPr>
        <sz val="9"/>
        <color indexed="8"/>
        <rFont val="Calibri"/>
        <family val="2"/>
      </rPr>
      <t>°</t>
    </r>
    <r>
      <rPr>
        <sz val="9"/>
        <color indexed="8"/>
        <rFont val="Times New Roman"/>
        <family val="1"/>
      </rPr>
      <t>С максим.)</t>
    </r>
  </si>
  <si>
    <r>
      <t>* герметизированный или высокотемпературный (до 240</t>
    </r>
    <r>
      <rPr>
        <sz val="9"/>
        <color indexed="8"/>
        <rFont val="Calibri"/>
        <family val="2"/>
      </rPr>
      <t>°</t>
    </r>
    <r>
      <rPr>
        <sz val="9"/>
        <color indexed="8"/>
        <rFont val="Times New Roman"/>
        <family val="1"/>
      </rPr>
      <t xml:space="preserve">С) </t>
    </r>
  </si>
  <si>
    <t>одобренный ATEX искробезопасный (120°С максим.)</t>
  </si>
  <si>
    <r>
      <t>с предусилением (65</t>
    </r>
    <r>
      <rPr>
        <sz val="9"/>
        <color indexed="8"/>
        <rFont val="Calibri"/>
        <family val="2"/>
      </rPr>
      <t>°</t>
    </r>
    <r>
      <rPr>
        <sz val="9"/>
        <color indexed="8"/>
        <rFont val="Times New Roman"/>
        <family val="1"/>
      </rPr>
      <t>С максим.)</t>
    </r>
  </si>
  <si>
    <t>Линейность</t>
  </si>
  <si>
    <t>+/- 0,5% (стандартно)</t>
  </si>
  <si>
    <t>+/-0,15% (автоматическая система применяется для размеров от ТР100 и больше)</t>
  </si>
  <si>
    <t>JB</t>
  </si>
  <si>
    <t>клеммная коробка одобренная  ATEX</t>
  </si>
  <si>
    <t>PA</t>
  </si>
  <si>
    <t>Взрывозащищенный предусилитель Exd, одобренный ATEX</t>
  </si>
  <si>
    <t>F1</t>
  </si>
  <si>
    <t>Взрывозащищенный преобразователь F/I одобренный ATEX</t>
  </si>
  <si>
    <t>с масштабированным выходным импульсом</t>
  </si>
  <si>
    <r>
      <t>BT11 двухстрочный сумматор с выходом - до 120</t>
    </r>
    <r>
      <rPr>
        <sz val="9"/>
        <color indexed="8"/>
        <rFont val="Calibri"/>
        <family val="2"/>
      </rPr>
      <t>°</t>
    </r>
    <r>
      <rPr>
        <sz val="9"/>
        <color indexed="8"/>
        <rFont val="Times New Roman"/>
        <family val="1"/>
      </rPr>
      <t>C макс.</t>
    </r>
  </si>
  <si>
    <t>одобрено IECEX и ATEX</t>
  </si>
  <si>
    <t>I.S. Искробезопасный BT11включая выход [2]</t>
  </si>
  <si>
    <t>RT12 сумматор расхода со всеми выходами [2]</t>
  </si>
  <si>
    <t>I.S. Искробезопасный RT12 включая все выходы [2]</t>
  </si>
  <si>
    <t>масштабированный импульс и подсветка фона</t>
  </si>
  <si>
    <r>
      <t>EB10 Ecobatch дозирующий контроллер с питанием по постоянному току - 120</t>
    </r>
    <r>
      <rPr>
        <sz val="9"/>
        <color indexed="8"/>
        <rFont val="Calibri"/>
        <family val="2"/>
      </rPr>
      <t>°</t>
    </r>
    <r>
      <rPr>
        <sz val="9"/>
        <color indexed="8"/>
        <rFont val="Times New Roman"/>
        <family val="1"/>
      </rPr>
      <t>С макс.</t>
    </r>
  </si>
  <si>
    <t xml:space="preserve">Требуемая особая конфигурация </t>
  </si>
  <si>
    <t>2</t>
  </si>
  <si>
    <t>1</t>
  </si>
  <si>
    <t>Запасные части</t>
  </si>
  <si>
    <t>см. выше</t>
  </si>
  <si>
    <t>МЕА025</t>
  </si>
  <si>
    <t>МЕА040</t>
  </si>
  <si>
    <t>МЕА050</t>
  </si>
  <si>
    <t>МЕА080</t>
  </si>
  <si>
    <t>МЕА100</t>
  </si>
  <si>
    <t>МЕА150</t>
  </si>
  <si>
    <t>Сборка из калиброванных измерительных элементов (ротор, ось, поддерживающие подшипники, стопорные кольца)</t>
  </si>
  <si>
    <t>POA</t>
  </si>
  <si>
    <r>
      <t>Стандартная магнитоиндуктивная катушка (до 120</t>
    </r>
    <r>
      <rPr>
        <sz val="9"/>
        <color indexed="8"/>
        <rFont val="Calibri"/>
        <family val="2"/>
      </rPr>
      <t>°</t>
    </r>
    <r>
      <rPr>
        <sz val="9"/>
        <color indexed="8"/>
        <rFont val="Times New Roman"/>
        <family val="1"/>
      </rPr>
      <t>С максим.) с  штырьевым разъемом MS соединителя</t>
    </r>
  </si>
  <si>
    <t>PC-802-MS</t>
  </si>
  <si>
    <t>Стандартная катушка с неразделанным в разъем кабелем (до 120°С максим.)</t>
  </si>
  <si>
    <t>PC-802-FL</t>
  </si>
  <si>
    <t xml:space="preserve">I.S. Искрозащищенный датчик на магнитоиндуктивной катушке (до 120°С максим.) с MS штырьевым разъемом </t>
  </si>
  <si>
    <t>PCI-802-MS</t>
  </si>
  <si>
    <t>I.S. Искрозащищенный датчик на магнитоиндуктивной катушке (до 120°С максим.) с неразделанным кабелем</t>
  </si>
  <si>
    <t>PCI-802-FL</t>
  </si>
  <si>
    <r>
      <t>Датчик на магнитоиндуктивной катушке с предусиленным модулированным по току импульсом с MS разъемом (до 65</t>
    </r>
    <r>
      <rPr>
        <sz val="9"/>
        <color indexed="8"/>
        <rFont val="Calibri"/>
        <family val="2"/>
      </rPr>
      <t>°</t>
    </r>
    <r>
      <rPr>
        <sz val="9"/>
        <color indexed="8"/>
        <rFont val="Times New Roman"/>
        <family val="1"/>
      </rPr>
      <t>С)</t>
    </r>
  </si>
  <si>
    <t>PUA-8700-MS</t>
  </si>
  <si>
    <r>
      <t>Герметизированный, высокотемпературный датчик на м-и катушке (до 240</t>
    </r>
    <r>
      <rPr>
        <sz val="9"/>
        <color indexed="8"/>
        <rFont val="Calibri"/>
        <family val="2"/>
      </rPr>
      <t>°</t>
    </r>
    <r>
      <rPr>
        <sz val="9"/>
        <color indexed="8"/>
        <rFont val="Times New Roman"/>
        <family val="1"/>
      </rPr>
      <t>С) с неразделанным кабелем</t>
    </r>
  </si>
  <si>
    <t>PC-55-9G</t>
  </si>
  <si>
    <r>
      <t>Герметизированный, высокотемпературный датчик на м-и катушке (до 240</t>
    </r>
    <r>
      <rPr>
        <sz val="9"/>
        <color indexed="8"/>
        <rFont val="Calibri"/>
        <family val="2"/>
      </rPr>
      <t>°</t>
    </r>
    <r>
      <rPr>
        <sz val="9"/>
        <color indexed="8"/>
        <rFont val="Times New Roman"/>
        <family val="1"/>
      </rPr>
      <t>С) с FS штырьевым разъемом</t>
    </r>
  </si>
  <si>
    <t>PC-55-8G</t>
  </si>
  <si>
    <t>Погружные лопастные расходомеры серии DP</t>
  </si>
  <si>
    <t>(цены указаны в рублях со склада в Москве, без НДС)</t>
  </si>
  <si>
    <t>DP490</t>
  </si>
  <si>
    <t xml:space="preserve">Диаметр трубы 40 ~ 900mm </t>
  </si>
  <si>
    <t>DP525</t>
  </si>
  <si>
    <r>
      <t>Диаметр трубы</t>
    </r>
    <r>
      <rPr>
        <sz val="9"/>
        <rFont val="Calibri"/>
        <family val="2"/>
      </rPr>
      <t xml:space="preserve"> 50 ~ 2500 mm,</t>
    </r>
    <r>
      <rPr>
        <sz val="9"/>
        <color indexed="8"/>
        <rFont val="Calibri"/>
        <family val="2"/>
      </rPr>
      <t xml:space="preserve">  подходит для врезки без остановки процесса (клапан не прилагается)</t>
    </r>
  </si>
  <si>
    <t>316 SS- Нержавеющая сталь</t>
  </si>
  <si>
    <t>Материал ротора и подшипников</t>
  </si>
  <si>
    <t>Материал уплотнительного кольца (O-Ring)</t>
  </si>
  <si>
    <r>
      <t xml:space="preserve">Витон (Viton)  </t>
    </r>
    <r>
      <rPr>
        <i/>
        <sz val="9"/>
        <rFont val="Calibri"/>
        <family val="2"/>
      </rPr>
      <t xml:space="preserve">( стандартно )  </t>
    </r>
    <r>
      <rPr>
        <sz val="9"/>
        <rFont val="Calibri"/>
        <family val="2"/>
      </rPr>
      <t xml:space="preserve">-15~+204ºC </t>
    </r>
  </si>
  <si>
    <r>
      <t xml:space="preserve">Этилен -пропиленовая резина (EPR) </t>
    </r>
    <r>
      <rPr>
        <i/>
        <sz val="9"/>
        <rFont val="Calibri"/>
        <family val="2"/>
      </rPr>
      <t xml:space="preserve"> -</t>
    </r>
    <r>
      <rPr>
        <sz val="9"/>
        <rFont val="Calibri"/>
        <family val="2"/>
      </rPr>
      <t xml:space="preserve"> только для кетонов</t>
    </r>
  </si>
  <si>
    <t xml:space="preserve">Витон с тефлоновым покрытием - для специальных применений  </t>
  </si>
  <si>
    <r>
      <t>Нитрильный каучук Буна-Н (Buna-N) -65~</t>
    </r>
    <r>
      <rPr>
        <i/>
        <sz val="9"/>
        <rFont val="Calibri"/>
        <family val="2"/>
      </rPr>
      <t>+</t>
    </r>
    <r>
      <rPr>
        <sz val="9"/>
        <rFont val="Calibri"/>
        <family val="2"/>
      </rPr>
      <t>125ºC</t>
    </r>
  </si>
  <si>
    <t xml:space="preserve">Рабочий диапазон температур </t>
  </si>
  <si>
    <t xml:space="preserve"> 100ºC стандартно,  (85ºC максимально для немагнитного выхода 4 типа)</t>
  </si>
  <si>
    <t xml:space="preserve"> 125ºC  - доступен с электрическими соединениями 5 и 6 типов</t>
  </si>
  <si>
    <t xml:space="preserve"> 150ºC - только NPN выход  ( доступен только с электрическим соединением 5 типа)</t>
  </si>
  <si>
    <r>
      <t xml:space="preserve"> 200ºC  </t>
    </r>
    <r>
      <rPr>
        <sz val="9"/>
        <color indexed="8"/>
        <rFont val="Calibri"/>
        <family val="2"/>
      </rPr>
      <t xml:space="preserve">- доступен с выходом  катушки 6 HT , только с электрическим соединением 5 </t>
    </r>
  </si>
  <si>
    <t xml:space="preserve">Технологическое соединение </t>
  </si>
  <si>
    <t>Британская стандартная трубная резьба (BSPT) наружная резьба -  1,5 дюйма ( 1½")  для DP490, 2 дюйма ( 2")  для DP525*</t>
  </si>
  <si>
    <r>
      <t>Нормальная трубная резьба (NPT) наружняя резьба 1,5 дюйма (</t>
    </r>
    <r>
      <rPr>
        <sz val="9"/>
        <rFont val="Calibri"/>
        <family val="2"/>
      </rPr>
      <t>1½") для  DP490, 2 дюйма (2") для DP525</t>
    </r>
  </si>
  <si>
    <t>2-х дюймовая наружняя резьба (2") BSPT на DP490</t>
  </si>
  <si>
    <t>2-х дюймовая наружняя резьба (2") NPT на DP490</t>
  </si>
  <si>
    <t>Типы выходов</t>
  </si>
  <si>
    <r>
      <t>NPN выход с открытым коллектором и импульсами по  напряжению или геркон</t>
    </r>
    <r>
      <rPr>
        <sz val="9"/>
        <rFont val="Calibri"/>
        <family val="2"/>
      </rPr>
      <t xml:space="preserve"> (стандартная комплектация)</t>
    </r>
  </si>
  <si>
    <r>
      <t>только NPN -выход с открытым коллектором (-ами) (</t>
    </r>
    <r>
      <rPr>
        <sz val="9"/>
        <rFont val="Calibri"/>
        <family val="2"/>
      </rPr>
      <t>для температурного кода 3 или опции QP- квадратурного выхода</t>
    </r>
    <r>
      <rPr>
        <sz val="9"/>
        <color indexed="8"/>
        <rFont val="Calibri"/>
        <family val="2"/>
      </rPr>
      <t xml:space="preserve">) </t>
    </r>
  </si>
  <si>
    <r>
      <t xml:space="preserve">Только геркон </t>
    </r>
    <r>
      <rPr>
        <sz val="9"/>
        <rFont val="Calibri"/>
        <family val="2"/>
      </rPr>
      <t>( может использоваться с искробезопасным (I.S.) экраном или инструментом во взрывоопасных областях )</t>
    </r>
  </si>
  <si>
    <r>
      <t xml:space="preserve">Немагнитный ротор с NPN- выходом </t>
    </r>
    <r>
      <rPr>
        <sz val="9"/>
        <rFont val="Calibri"/>
        <family val="2"/>
      </rPr>
      <t>( для жидкостей с железистыми включениями , нужно питание)</t>
    </r>
  </si>
  <si>
    <r>
      <t xml:space="preserve">Немагнитный ротор с выходом с искробезопасной (I.S.) распределительной коробки </t>
    </r>
    <r>
      <rPr>
        <sz val="9"/>
        <rFont val="Calibri"/>
        <family val="2"/>
      </rPr>
      <t>(для жидкостей с железистыми включениями, с автономным источником питания)</t>
    </r>
  </si>
  <si>
    <r>
      <t xml:space="preserve">Высокотемпературный 200ºC катушечный выход  </t>
    </r>
    <r>
      <rPr>
        <sz val="9"/>
        <rFont val="Calibri"/>
        <family val="2"/>
      </rPr>
      <t>( доступен только с электрическим соединением 5)</t>
    </r>
  </si>
  <si>
    <r>
      <t>Немагнитный ротор с катушечным выходом до 125ºC  (</t>
    </r>
    <r>
      <rPr>
        <sz val="9"/>
        <rFont val="Calibri"/>
        <family val="2"/>
      </rPr>
      <t>для жидкостей с железистыми включениями, с автономным источником питания)</t>
    </r>
  </si>
  <si>
    <t>Электрические соединения</t>
  </si>
  <si>
    <t>Кабель 3 м (стандарт)</t>
  </si>
  <si>
    <t>Кабель 10м</t>
  </si>
  <si>
    <t>Кабель 20м</t>
  </si>
  <si>
    <t>Кабель 50м (большая длина -под заказ)</t>
  </si>
  <si>
    <t>Распределительная коробка или монтажный комплект (stem kit)</t>
  </si>
  <si>
    <t>Stem kit (цена с включенными опциями B2, B3, R2, R3,E0)</t>
  </si>
  <si>
    <t>Включенные опции</t>
  </si>
  <si>
    <t xml:space="preserve">Квадратурный импульсный выход(требуется PD2 для двунаправленного потока) </t>
  </si>
  <si>
    <t>С масштабируемым импульсным выходом</t>
  </si>
  <si>
    <t xml:space="preserve">FBT11 сумматор с двумя входами  (с масштабируемым импульсным выходом)     </t>
  </si>
  <si>
    <t xml:space="preserve"> одобрено IECEX и ATEX</t>
  </si>
  <si>
    <r>
      <t xml:space="preserve"> Искробезопасный</t>
    </r>
    <r>
      <rPr>
        <i/>
        <sz val="9"/>
        <color indexed="8"/>
        <rFont val="Cambria"/>
        <family val="1"/>
      </rPr>
      <t xml:space="preserve"> </t>
    </r>
    <r>
      <rPr>
        <sz val="9"/>
        <color indexed="8"/>
        <rFont val="Cambria"/>
        <family val="1"/>
      </rPr>
      <t>FBT11 включая выход</t>
    </r>
    <r>
      <rPr>
        <i/>
        <sz val="9"/>
        <color indexed="8"/>
        <rFont val="Cambria"/>
        <family val="1"/>
      </rPr>
      <t xml:space="preserve"> </t>
    </r>
    <r>
      <rPr>
        <sz val="9"/>
        <color indexed="8"/>
        <rFont val="Cambria"/>
        <family val="1"/>
      </rPr>
      <t>[2]</t>
    </r>
  </si>
  <si>
    <t xml:space="preserve">импульсный выход, аварийный сигнал и токовый выход 4~20mA </t>
  </si>
  <si>
    <t xml:space="preserve">  FRT12 сумматор расхода со всеми выходами [2]</t>
  </si>
  <si>
    <r>
      <t xml:space="preserve">  I.S. искробезопасный</t>
    </r>
    <r>
      <rPr>
        <i/>
        <sz val="9"/>
        <color indexed="8"/>
        <rFont val="Cambria"/>
        <family val="1"/>
      </rPr>
      <t xml:space="preserve"> </t>
    </r>
    <r>
      <rPr>
        <sz val="9"/>
        <color indexed="8"/>
        <rFont val="Cambria"/>
        <family val="1"/>
      </rPr>
      <t>FRT12 со всеми выходами [2]</t>
    </r>
  </si>
  <si>
    <t>масштабируемый импульс + задняя подсветка</t>
  </si>
  <si>
    <t>Дозатор с питанием по постоянному току с двухступенчатым  контроллером дозирования</t>
  </si>
  <si>
    <t xml:space="preserve">  Особые требования к конструкции  [1]</t>
  </si>
  <si>
    <t>определяется индивидуально</t>
  </si>
  <si>
    <t xml:space="preserve">                      Пример выбора номера модели</t>
  </si>
  <si>
    <t>Отгрузочный вес (брутто)</t>
  </si>
  <si>
    <t xml:space="preserve"> -</t>
  </si>
  <si>
    <t>без опций</t>
  </si>
  <si>
    <t>1.6 kg</t>
  </si>
  <si>
    <r>
      <t>Наборы запасных частей для DP серии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i/>
        <sz val="7"/>
        <rFont val="Arial"/>
        <family val="2"/>
      </rPr>
      <t>(для DP490 и DP525 )</t>
    </r>
  </si>
  <si>
    <t>Арт. No.</t>
  </si>
  <si>
    <t>Цена</t>
  </si>
  <si>
    <t>Стандартные наборы</t>
  </si>
  <si>
    <t>Стандартный выход (двойной)</t>
  </si>
  <si>
    <t>Только геркон</t>
  </si>
  <si>
    <r>
      <t xml:space="preserve">Ремкомплект измерительной головки </t>
    </r>
    <r>
      <rPr>
        <sz val="9"/>
        <rFont val="Calibri"/>
        <family val="2"/>
      </rPr>
      <t>(магнитный ротор, ось, литая головка, уплотнительные кольца и 3-метровый кабель )</t>
    </r>
  </si>
  <si>
    <t>Немагнитные ремкомплекты</t>
  </si>
  <si>
    <t>Ремкомплект только ротора</t>
  </si>
  <si>
    <t>Ремкомплекты для немагнитных измерений - NPN-выход с датчика Холла тип 4  ( ротор, ось, литая головка, упл. кольца и 3-м кабель)</t>
  </si>
  <si>
    <t>Ремкомплекты для немагнитных измерений - искробезопасная магнитоиндуктивная катушка выход тип 5 (ротор, ось, литая головка, упл. кольца и гибкий выводной конец)</t>
  </si>
  <si>
    <t>Ремкомплекты для немагнитных измерений - магнитоиндуктивная катушка выход тип 7     ( ротор, ось, литая головка, упл. кольца и гибкий выводной конец)</t>
  </si>
  <si>
    <t>Ремкомплекты измерительной головки для высоких температур</t>
  </si>
  <si>
    <t>Одиночный выход</t>
  </si>
  <si>
    <r>
      <t xml:space="preserve"> 125ºC  </t>
    </r>
    <r>
      <rPr>
        <sz val="9"/>
        <rFont val="Calibri"/>
        <family val="2"/>
      </rPr>
      <t>ремкомплект ( ротор, ось, литая головка, упл. кольца, с тефлоновой смазкой )</t>
    </r>
  </si>
  <si>
    <r>
      <t xml:space="preserve"> 150ºC </t>
    </r>
    <r>
      <rPr>
        <sz val="9"/>
        <rFont val="Calibri"/>
        <family val="2"/>
      </rPr>
      <t>ремкомплект ( ротор, ось, литая головка, упл. кольца, с тефлоновой смазкой )</t>
    </r>
  </si>
  <si>
    <r>
      <t xml:space="preserve">200ºC </t>
    </r>
    <r>
      <rPr>
        <sz val="9"/>
        <rFont val="Calibri"/>
        <family val="2"/>
      </rPr>
      <t>ремкомплект ( ротор, ось, литая головка, упл. кольца, с тефлоновой смазкой )</t>
    </r>
  </si>
  <si>
    <t>QP Ремкомплект для квадратурного выхода</t>
  </si>
  <si>
    <t xml:space="preserve"> Ремкомплект для квадратурного выхода  (ротор, ось, литая головка, уплотнительные кольца с 3 - метровым кабелем )</t>
  </si>
  <si>
    <t>Регистрирующая аппаратура универсального монтажа</t>
  </si>
  <si>
    <t>(для монтажа на стену, поверхность, трубу, в панель или на расходомер)</t>
  </si>
  <si>
    <t>Модель</t>
  </si>
  <si>
    <r>
      <t>Функции (все приборы имеют программную защиту PIN - кодом</t>
    </r>
    <r>
      <rPr>
        <i/>
        <sz val="9"/>
        <rFont val="Times New Roman"/>
        <family val="1"/>
      </rPr>
      <t>)</t>
    </r>
  </si>
  <si>
    <t>Вес</t>
  </si>
  <si>
    <t>BT11</t>
  </si>
  <si>
    <t>Сумматор с масштабируемым импульсным выходным сигналом</t>
  </si>
  <si>
    <t>0.3 кг</t>
  </si>
  <si>
    <t>Сумматор расхода с выходами: 4~20мА, масшт. импульсным, тревоги; двумя входами и IP68 GRN корпусом</t>
  </si>
  <si>
    <t>0.4 кг</t>
  </si>
  <si>
    <t>Сумматор расхода с  6-и зн. обнуляемым и 8-и зн. накопительным сумматором, отображаются расход и суммарный объем, масштабированный выходной импульс и LCD- дисплей с черным фоном, IP68 корпусом из сплава</t>
  </si>
  <si>
    <t>0.5 кг</t>
  </si>
  <si>
    <t>EB10</t>
  </si>
  <si>
    <t>Ecobatch-дозирующий контроллер с питанием по постоянному току, одно- или двухступенчатый</t>
  </si>
  <si>
    <t>Электрические аксессуары</t>
  </si>
  <si>
    <t xml:space="preserve">Цена доп. опций </t>
  </si>
  <si>
    <t>Кабельный уплотнитель питания (только для сумматора  ВТ)</t>
  </si>
  <si>
    <t>Кабельные вводы с резьбовым отверстием 3хМ20х1,5мм (герметизированные вводы сохраняют класс защиты IP66/67, когда не используются)</t>
  </si>
  <si>
    <t>Кабельные вводы с резьбовым отверстием 3х1/2" (герметизированные вводы сохраняют класс защиты IP66/67, когда не используются)</t>
  </si>
  <si>
    <t>Тип входного сигнала</t>
  </si>
  <si>
    <t>Цифровой (импульс или частота)</t>
  </si>
  <si>
    <t>Питание</t>
  </si>
  <si>
    <t>Внутреннее (батарея) или стабилизированное 8~24 VDC</t>
  </si>
  <si>
    <t>Тип корпуса</t>
  </si>
  <si>
    <t>FM</t>
  </si>
  <si>
    <t>Универсальный монтаж (полевой или в панель)</t>
  </si>
  <si>
    <t>MM</t>
  </si>
  <si>
    <t>Монтаж на расходомер (для серии ОМ заказывать только ММ-тип при  встраивании в установленный расходомер)</t>
  </si>
  <si>
    <t>EX</t>
  </si>
  <si>
    <t>Электронные опции</t>
  </si>
  <si>
    <t>R</t>
  </si>
  <si>
    <t>I</t>
  </si>
  <si>
    <r>
      <t xml:space="preserve"> I.S. Искробезопасное  Exia IIB T4 - одобренное  IECEX &amp; ATEX </t>
    </r>
    <r>
      <rPr>
        <i/>
        <sz val="9"/>
        <color indexed="8"/>
        <rFont val="Times New Roman"/>
        <family val="1"/>
      </rPr>
      <t xml:space="preserve"> (не применяется с EB10 ) </t>
    </r>
  </si>
  <si>
    <t>Механические опции</t>
  </si>
  <si>
    <t>Пример выбора модели</t>
  </si>
  <si>
    <r>
      <t xml:space="preserve">Защита лицевой панели- только для RT20  </t>
    </r>
    <r>
      <rPr>
        <i/>
        <sz val="9"/>
        <color indexed="8"/>
        <rFont val="Times New Roman"/>
        <family val="1"/>
      </rPr>
      <t xml:space="preserve">( 3мм прозрачная пластина из поликарбоната - особенно подходит для двигателей, работающих в шахтах) </t>
    </r>
  </si>
  <si>
    <t>FBT11</t>
  </si>
  <si>
    <t>Кат. No.</t>
  </si>
  <si>
    <t>Аксессуары для вышеупомянутых серий</t>
  </si>
  <si>
    <t>К-т из нержавеющей стали для установки на стену</t>
  </si>
  <si>
    <t>К-т из нерж. стали для установки на трубу 2"</t>
  </si>
  <si>
    <r>
      <t>К-т радиатора охлаждения для расходомеров со встроенными инструментами (для работы при 80-</t>
    </r>
    <r>
      <rPr>
        <sz val="8.1"/>
        <rFont val="Times New Roman"/>
        <family val="1"/>
      </rPr>
      <t>120</t>
    </r>
    <r>
      <rPr>
        <sz val="8.1"/>
        <rFont val="Calibri"/>
        <family val="2"/>
      </rPr>
      <t>°</t>
    </r>
    <r>
      <rPr>
        <sz val="7.3"/>
        <rFont val="Times New Roman"/>
        <family val="1"/>
      </rPr>
      <t>C)</t>
    </r>
  </si>
  <si>
    <r>
      <t xml:space="preserve">Кабельный уплотнитель для серии ВТ  </t>
    </r>
    <r>
      <rPr>
        <i/>
        <sz val="9"/>
        <color indexed="8"/>
        <rFont val="Times New Roman"/>
        <family val="1"/>
      </rPr>
      <t>(PG7, для кабелей Ø2.9~6.4mm)</t>
    </r>
  </si>
  <si>
    <t>Запчасти для сумматора FBT с питанием от батарей</t>
  </si>
  <si>
    <t>Корпус для монтажа на расходомеры серии ОМ</t>
  </si>
  <si>
    <t>Универсальный корпус для полевого монтажа</t>
  </si>
  <si>
    <r>
      <t>Крышка фальшпанели</t>
    </r>
    <r>
      <rPr>
        <i/>
        <sz val="9"/>
        <rFont val="Times New Roman"/>
        <family val="1"/>
      </rPr>
      <t xml:space="preserve">  ( прозрачная )</t>
    </r>
  </si>
  <si>
    <r>
      <t xml:space="preserve">фальшпанель &amp; крышка фальшпанели  </t>
    </r>
    <r>
      <rPr>
        <i/>
        <sz val="9"/>
        <rFont val="Times New Roman"/>
        <family val="1"/>
      </rPr>
      <t>( без передней панели )</t>
    </r>
  </si>
  <si>
    <r>
      <t xml:space="preserve"> Винт фальшпанели M3x16 </t>
    </r>
    <r>
      <rPr>
        <i/>
        <sz val="9"/>
        <rFont val="Times New Roman"/>
        <family val="1"/>
      </rPr>
      <t xml:space="preserve"> ( набор 5 шт. )</t>
    </r>
  </si>
  <si>
    <r>
      <t xml:space="preserve">Уплотнительные кольца винтов фальшпанели    </t>
    </r>
    <r>
      <rPr>
        <i/>
        <sz val="9"/>
        <rFont val="Times New Roman"/>
        <family val="1"/>
      </rPr>
      <t>( 5 шт.)</t>
    </r>
  </si>
  <si>
    <r>
      <t xml:space="preserve"> Уплотнительные кольца фальшпанели    </t>
    </r>
    <r>
      <rPr>
        <i/>
        <sz val="9"/>
        <rFont val="Times New Roman"/>
        <family val="1"/>
      </rPr>
      <t>(2 шт.)</t>
    </r>
  </si>
  <si>
    <r>
      <t xml:space="preserve">Неискробезопасная литиевая батарея  </t>
    </r>
    <r>
      <rPr>
        <i/>
        <sz val="9"/>
        <rFont val="Times New Roman"/>
        <family val="1"/>
      </rPr>
      <t xml:space="preserve"> ( можно использовать RS (No.596-602) или Farnell (код заказа 206-532) )</t>
    </r>
  </si>
  <si>
    <t>Искробезопасная упаковка литиевой батареи</t>
  </si>
  <si>
    <r>
      <t xml:space="preserve">Крепежный винт PC-платы  M3x6  </t>
    </r>
    <r>
      <rPr>
        <i/>
        <sz val="9"/>
        <rFont val="Times New Roman"/>
        <family val="1"/>
      </rPr>
      <t>(3шт.)</t>
    </r>
  </si>
  <si>
    <r>
      <t xml:space="preserve">PC-плата для сумматора BT11 </t>
    </r>
    <r>
      <rPr>
        <i/>
        <sz val="9"/>
        <rFont val="Times New Roman"/>
        <family val="1"/>
      </rPr>
      <t>( включая LCD &amp; I.S. батарею )</t>
    </r>
  </si>
  <si>
    <t xml:space="preserve"> Запчасти сумматора расхода FRT и дозирующего контроллера FEB Ecobatch</t>
  </si>
  <si>
    <t>Корпус для монтажа на расходомер серии ОМ с кабельными вводами 1/2"</t>
  </si>
  <si>
    <t>Корпус для монтажа на расходомер серии ОМ с кабельными вводами М21</t>
  </si>
  <si>
    <t>Универсальный корпус для полевого монтажа с кабельными вводами 1/2"</t>
  </si>
  <si>
    <t>Универсальный корпус для полевого монтажа с кабельными вводами M21</t>
  </si>
  <si>
    <t>Крышка фальшпанели  ( прозрачная )</t>
  </si>
  <si>
    <t>Фальшпанель &amp; крышка фальшпанели  ( без передней панели )</t>
  </si>
  <si>
    <r>
      <t xml:space="preserve">Винт фальшпанели M4x25 </t>
    </r>
    <r>
      <rPr>
        <i/>
        <sz val="9"/>
        <rFont val="Times New Roman"/>
        <family val="1"/>
      </rPr>
      <t xml:space="preserve"> ( 4 шт. )</t>
    </r>
  </si>
  <si>
    <t>Уплотнительные кольца винтов фальшпанели    (4 шт.)</t>
  </si>
  <si>
    <t xml:space="preserve"> Уплотнительное кольцо фальшпанели </t>
  </si>
  <si>
    <t>Неискробезопасная литиевая батарея   ( можно использовать RS (No.596-602) или Farnell (код заказа 206-532) )</t>
  </si>
  <si>
    <t>Крепежный винт PC-платы  M3x6  (4шт.)</t>
  </si>
  <si>
    <t>PC-плата для сумматора потока RT12 ( включая LCD &amp; I.S. батарею )</t>
  </si>
  <si>
    <t>PC-плата для контроллера ЕВ ( включая LCD &amp; I.S. батарею )</t>
  </si>
  <si>
    <t>Плата релейного контрольного выхода с двумя SPCO реле (контакты = N.O.: 10A,  N.C.: 3A max.)</t>
  </si>
  <si>
    <t xml:space="preserve"> Общие монтажные запчасти для всех инструментов</t>
  </si>
  <si>
    <r>
      <t xml:space="preserve"> OM уплотнительное кольцо счетчика</t>
    </r>
    <r>
      <rPr>
        <i/>
        <sz val="9"/>
        <rFont val="Times New Roman"/>
        <family val="1"/>
      </rPr>
      <t xml:space="preserve">  (уплотнения между корпусом счетчика и корпусом расходомера серии OM  )</t>
    </r>
  </si>
  <si>
    <r>
      <t xml:space="preserve"> Винт для монтажа на повехность - M4x7 саморезы  </t>
    </r>
    <r>
      <rPr>
        <i/>
        <sz val="9"/>
        <rFont val="Times New Roman"/>
        <family val="1"/>
      </rPr>
      <t xml:space="preserve"> (4шт. )</t>
    </r>
  </si>
  <si>
    <r>
      <t xml:space="preserve">Установочные винты счетчика OM - M5x10   </t>
    </r>
    <r>
      <rPr>
        <i/>
        <sz val="9"/>
        <rFont val="Times New Roman"/>
        <family val="1"/>
      </rPr>
      <t xml:space="preserve"> (4 шт. )</t>
    </r>
  </si>
  <si>
    <r>
      <t xml:space="preserve">Установочные винты счетчика OM и охлаждающего радиатора M5x30   </t>
    </r>
    <r>
      <rPr>
        <i/>
        <sz val="9"/>
        <rFont val="Times New Roman"/>
        <family val="1"/>
      </rPr>
      <t xml:space="preserve"> (4 шт. )</t>
    </r>
  </si>
  <si>
    <t xml:space="preserve">Расходомеры с овальными шестернями серии ОМ и импульсными выходами </t>
  </si>
  <si>
    <t xml:space="preserve">Расходомеры с овальными шестернями серии ЕМ и имп. выходами </t>
  </si>
  <si>
    <t xml:space="preserve">Турбинные расходомеры серии TP  </t>
  </si>
  <si>
    <t>Релейный контрольный выход - плата интерфейса с двумя SPDT реле</t>
  </si>
  <si>
    <t>http://trimec.ru</t>
  </si>
  <si>
    <t>M</t>
  </si>
  <si>
    <t xml:space="preserve">Алюминий  для повышенного давления (138 bar max) </t>
  </si>
  <si>
    <t>N</t>
  </si>
  <si>
    <r>
      <t xml:space="preserve">Нержавеющая сталь для высокого давления 316SS  (ОМ004-040Н-400 bar, ОМ050Н-300 bar 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макс.</t>
    </r>
    <r>
      <rPr>
        <sz val="8"/>
        <rFont val="Arial"/>
        <family val="2"/>
      </rPr>
      <t xml:space="preserve"> )  </t>
    </r>
    <r>
      <rPr>
        <i/>
        <sz val="8"/>
        <rFont val="Univers"/>
        <family val="0"/>
      </rPr>
      <t xml:space="preserve"> </t>
    </r>
    <r>
      <rPr>
        <sz val="8"/>
        <rFont val="Arial"/>
        <family val="2"/>
      </rPr>
      <t xml:space="preserve"> </t>
    </r>
  </si>
  <si>
    <r>
      <t>150ºC  max.</t>
    </r>
    <r>
      <rPr>
        <sz val="8"/>
        <rFont val="Univers"/>
        <family val="0"/>
      </rPr>
      <t xml:space="preserve">  -выход только датчик Холла</t>
    </r>
  </si>
  <si>
    <t>JIS 10 кг/см2 фланцы</t>
  </si>
  <si>
    <t>PF</t>
  </si>
  <si>
    <t>P1</t>
  </si>
  <si>
    <t>Чугун (требуется консультация с изготовителем)</t>
  </si>
  <si>
    <t>Ex</t>
  </si>
  <si>
    <t>25600 (включая согласующий переходной комплект)</t>
  </si>
  <si>
    <t>27600 (включая согласующий переходной комплект)</t>
  </si>
  <si>
    <t>21150 (включая согласующий переходной комплект)</t>
  </si>
  <si>
    <t>27000 (включая согласующий переходной комплект)</t>
  </si>
  <si>
    <r>
      <t xml:space="preserve">Ротор из PVDF (поливинилиденфторид) с осью из нержавеющей стали 316 SS - 100 град С </t>
    </r>
    <r>
      <rPr>
        <sz val="9"/>
        <rFont val="Calibri"/>
        <family val="2"/>
      </rPr>
      <t>( стандартная комплектация )</t>
    </r>
    <r>
      <rPr>
        <sz val="9"/>
        <color indexed="8"/>
        <rFont val="Calibri"/>
        <family val="2"/>
      </rPr>
      <t xml:space="preserve"> </t>
    </r>
  </si>
  <si>
    <t>Ротор из PEEK (полиэфирэфиркетон) с осью из нержавеющей стали 316 SS -200 град С</t>
  </si>
  <si>
    <r>
      <t xml:space="preserve">Ремкомплект  ротора  PVDF </t>
    </r>
    <r>
      <rPr>
        <sz val="9"/>
        <rFont val="Univers"/>
        <family val="0"/>
      </rPr>
      <t>( магнитный ротор и ось )</t>
    </r>
    <r>
      <rPr>
        <sz val="9"/>
        <color indexed="8"/>
        <rFont val="Calibri"/>
        <family val="2"/>
      </rPr>
      <t xml:space="preserve"> -подходит для температур  до +100ºC</t>
    </r>
    <r>
      <rPr>
        <sz val="9"/>
        <rFont val="Univers"/>
        <family val="0"/>
      </rPr>
      <t xml:space="preserve"> </t>
    </r>
  </si>
  <si>
    <r>
      <t xml:space="preserve">Ремкомплект  ротора PEEK </t>
    </r>
    <r>
      <rPr>
        <sz val="9"/>
        <rFont val="Univers"/>
        <family val="0"/>
      </rPr>
      <t>( магнитный ротор и ось )</t>
    </r>
    <r>
      <rPr>
        <sz val="9"/>
        <color indexed="8"/>
        <rFont val="Calibri"/>
        <family val="2"/>
      </rPr>
      <t xml:space="preserve"> -подходит для всех температур  от -60 до +200ºC</t>
    </r>
    <r>
      <rPr>
        <sz val="9"/>
        <rFont val="Univers"/>
        <family val="0"/>
      </rPr>
      <t xml:space="preserve"> </t>
    </r>
  </si>
  <si>
    <t>FRT12</t>
  </si>
  <si>
    <t>ES</t>
  </si>
  <si>
    <t>Регистрирующая аппаратура для монтажа в панель DIN</t>
  </si>
  <si>
    <t>FEB10</t>
  </si>
  <si>
    <t>0.8 кг</t>
  </si>
  <si>
    <t xml:space="preserve">Сумматор расхода постоянного (переменного) тока с выходами: 4~20мА, двумя входами и двумя реле аварийных выходных сигналов </t>
  </si>
  <si>
    <t>Ecobatch-дозирующий контроллер с питанием по постоянному (переменному) току, одно- или двухступенчатый с двумя реле управления</t>
  </si>
  <si>
    <t>PM</t>
  </si>
  <si>
    <t>FE</t>
  </si>
  <si>
    <t>Опции</t>
  </si>
  <si>
    <t>PD2</t>
  </si>
  <si>
    <t xml:space="preserve">FI-420 </t>
  </si>
  <si>
    <t>SPM10</t>
  </si>
  <si>
    <t>OM004 = 11200 имп/литр</t>
  </si>
  <si>
    <t>Муфта с тройной фиксацией на 1/2 " больше,чем проходной диаметр расходомера</t>
  </si>
  <si>
    <t xml:space="preserve">Опция для подсчета пульсирующего потока (на датчике Холла) </t>
  </si>
  <si>
    <t>для инжекторных двигателей</t>
  </si>
  <si>
    <t>Взрывозащищенное Exd исполнение с опцией PF длч пульсирующего потока</t>
  </si>
  <si>
    <t>Аналоговый выход 4-20 mA с питанием от контура</t>
  </si>
  <si>
    <t xml:space="preserve">JIS  фланцы 10 кг/см2 </t>
  </si>
  <si>
    <t>Гигиеническая муфта с тройной фиксацией</t>
  </si>
  <si>
    <t>исключительно для опций              B2 и B3</t>
  </si>
  <si>
    <t xml:space="preserve">GRN  - клеммная крышка (стандартно кроме  SS -нержавеющей стали) </t>
  </si>
  <si>
    <t>Аналоговый выход 4-20мА с питанием от контура</t>
  </si>
  <si>
    <t xml:space="preserve"> Аналоговый выход 4-2-мА с питанием от контура</t>
  </si>
  <si>
    <t>модульный конвертор напряжения 24В-12В</t>
  </si>
  <si>
    <t>прозрачная лицевая панель из силикона (герметичная крышка, поддерживающая чувствительность кнопок)</t>
  </si>
  <si>
    <t>Литиевая батарея (можно использовать батарею RS склад. номер №596-602 или Фамелл код заказа 206-532)</t>
  </si>
  <si>
    <t>Плата реле мощности</t>
  </si>
  <si>
    <t xml:space="preserve">Комплект трубных гаек, удерживающих плату ЖК дисплея (6 шт.М3) </t>
  </si>
  <si>
    <t>Комплект винтов, удерживающих плату ЖК дисплея (3 шт. 3хМ3х12 мм)</t>
  </si>
  <si>
    <t>Сборка плоского кабеля на 16 контактов</t>
  </si>
  <si>
    <t>Сборка плоского кабеля на 5 контактов</t>
  </si>
  <si>
    <t>Заземляющий обжимной контакт (одна круглая кдемма М3)</t>
  </si>
  <si>
    <t>Комплект хомутов для панельного монтажа (комлект 2хМ4)</t>
  </si>
  <si>
    <t xml:space="preserve">Полный комплект DIN корпуса (корпус, передняя, задняя панели, винты и скобы) крышка не прилагается </t>
  </si>
  <si>
    <t>Сборка задней панели (включая панель маркировочных бирок клемм)</t>
  </si>
  <si>
    <t xml:space="preserve"> Процессорная плата для сумматора FRT12 (включая ЖК монитор и батарею)</t>
  </si>
  <si>
    <t>Процессорная плата для дозирующего контроллера ЕВ (включая ЖК монитор и батарею)</t>
  </si>
  <si>
    <t xml:space="preserve"> Комплект винтов панели (комплект из 8  саморезов № 4)</t>
  </si>
  <si>
    <t>Винт заземления ( 1 шт. М3х6)</t>
  </si>
  <si>
    <t>Импульсный дискриминатор (квадратурный импульсный вход -двухканальный выход NPN с открытым коллектором)</t>
  </si>
  <si>
    <t>Конвертор частота-ток (входной сигнал геркона или датчика Холла-4-20мА выход на максимальную нагрузку 600 Ом)</t>
  </si>
  <si>
    <t>Синхронизирующий импульсный умножитель (SPM10) умножает входящие импульсы в 1-10 раз</t>
  </si>
  <si>
    <t>Миниатюрная плата конвертора NPN в PNP импульсного сигнала</t>
  </si>
  <si>
    <t>Конвертор/изолятор 24В в 12В для расходомеров приборов. Используется для расходомеров на ДВС</t>
  </si>
  <si>
    <t>Запасные части для панельных регистраторов</t>
  </si>
  <si>
    <t>Конвертор DC - DC и электронные модули импульсного интерфейса (для расходомеров с выходами на герконе и датчике Холла)</t>
  </si>
  <si>
    <t>Прозрачная лицевая панель из силикона (герметичная крышка, поддерживающая чувствительность кнопок)</t>
  </si>
  <si>
    <t>Монтаж в DIN панель 96 х 96   перевод</t>
  </si>
  <si>
    <t>Задняя панеель с клеммной колодкой, DIP переключателями и регулируемым источником питания 8~24VDC</t>
  </si>
  <si>
    <t xml:space="preserve"> 110 В ~ ( также может работать от питания 8~24 VDC -по требованию)</t>
  </si>
  <si>
    <t>220В ~ ( также может работать от питания 8~24 VDC по требованию)</t>
  </si>
  <si>
    <t>Расходомер JYM/L-1 (1-30 л/мин) с LCD дисплеем</t>
  </si>
  <si>
    <t> Расходомер JYM/P-1 (1-30 л/мин) с имп. выходом</t>
  </si>
  <si>
    <t> Расходомер  OGM-A-25-P (20-200 л/мин) с импульсным выходом</t>
  </si>
  <si>
    <t> Расходомер OGM-A-25 (20-200 л/мин) с механическим регистратором</t>
  </si>
  <si>
    <t> Расходомер OGM-A-40-P (25-250 л/мин) с импульсным выходом</t>
  </si>
  <si>
    <t> Расходомер ОGM-A-40 (25-250 л/мин) с механическим регистратором</t>
  </si>
  <si>
    <t> Расходомер OGM-A-50-P (30-300 л/мин) с импульсным выходом</t>
  </si>
  <si>
    <t> Расходомер OGM-A-50 (30-300 л/мин) с механическим регистратором</t>
  </si>
  <si>
    <t>Цена, руб. без НДС</t>
  </si>
  <si>
    <t>Прибор установлен в IP66 универсальный  корпус (включает в себя чехол с прозрачным окном)</t>
  </si>
  <si>
    <r>
      <t>Exd взрывозащищенный алюминиевый корпус с внешними переключателями</t>
    </r>
    <r>
      <rPr>
        <i/>
        <sz val="9"/>
        <color indexed="12"/>
        <rFont val="Times New Roman"/>
        <family val="1"/>
      </rPr>
      <t xml:space="preserve"> </t>
    </r>
  </si>
  <si>
    <t xml:space="preserve">Exd взрывозащищенный стальной (316SS) корпус с внешними переключателями </t>
  </si>
  <si>
    <t>Ремкомплект измерит. головки</t>
  </si>
  <si>
    <t>№ п/п</t>
  </si>
  <si>
    <t xml:space="preserve">               Наименование, характеристики</t>
  </si>
  <si>
    <t xml:space="preserve">Расходомеры с овальными шестернями Cowell </t>
  </si>
  <si>
    <t> 5200,0</t>
  </si>
  <si>
    <t xml:space="preserve">Нержавеющая сталь 316L для повышенного давления (ОМ004-025N 100 bar, OM040N 50 bar, OM050N 80 bar) </t>
  </si>
  <si>
    <t>Взрывозащищенный ~  Выходная плата с HR опцией (имп. выход высокого разрешения на датчике Холла)</t>
  </si>
  <si>
    <t xml:space="preserve">Взрывозащищенный ~ Выходная плата </t>
  </si>
  <si>
    <t>Взрывозащищенный - Выходная плата (с квадратурным импульсом)</t>
  </si>
  <si>
    <t xml:space="preserve">Модель </t>
  </si>
  <si>
    <t>DN6</t>
  </si>
  <si>
    <t>DN8</t>
  </si>
  <si>
    <t>DN10</t>
  </si>
  <si>
    <t>DN32</t>
  </si>
  <si>
    <t>DN65</t>
  </si>
  <si>
    <t>DN125</t>
  </si>
  <si>
    <t xml:space="preserve"> 2W латунь (резьбовое соединение) </t>
  </si>
  <si>
    <t xml:space="preserve"> 2W латунь (резьбовое соединение), взрывозащищенное исполнение </t>
  </si>
  <si>
    <t xml:space="preserve"> 2W нерж. сталь  (резьбовое соединение) </t>
  </si>
  <si>
    <t xml:space="preserve"> 2W нерж. сталь  (фланцевое соединение) </t>
  </si>
  <si>
    <r>
      <t xml:space="preserve">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Электромагнитные клапаны (цены указаны в  рублях со склада в Москве, без НДС)       </t>
    </r>
    <r>
      <rPr>
        <sz val="11"/>
        <color theme="1"/>
        <rFont val="Calibri"/>
        <family val="2"/>
      </rPr>
      <t xml:space="preserve">       http://darkont.ru</t>
    </r>
  </si>
  <si>
    <t xml:space="preserve">Фильтры </t>
  </si>
  <si>
    <t>ST006</t>
  </si>
  <si>
    <t>6mm ( 1/4" технологическое соединение)</t>
  </si>
  <si>
    <t>ST008</t>
  </si>
  <si>
    <t>8mm ( 3/8" технологическое соединение )</t>
  </si>
  <si>
    <t>ST015</t>
  </si>
  <si>
    <t>15mm ( 1/2" технологическое соединение)</t>
  </si>
  <si>
    <t>ST025</t>
  </si>
  <si>
    <t>25mm ( 1" технологическое соединение)</t>
  </si>
  <si>
    <t>ST040</t>
  </si>
  <si>
    <t>40mm ( 11/2" технологическое соединение)</t>
  </si>
  <si>
    <t>ST050</t>
  </si>
  <si>
    <t xml:space="preserve">50mm ( 2" технологическое соединение )    </t>
  </si>
  <si>
    <t>Материал</t>
  </si>
  <si>
    <t>316 корпус и сетка из нержавеющей стали тефлоновое уплотнение</t>
  </si>
  <si>
    <t>Размер ячеек сетки</t>
  </si>
  <si>
    <r>
      <t xml:space="preserve">      Номинальный размер ячейки - </t>
    </r>
    <r>
      <rPr>
        <i/>
        <sz val="8"/>
        <rFont val="Arial"/>
        <family val="2"/>
      </rPr>
      <t>микрон</t>
    </r>
  </si>
  <si>
    <t>ЦЕНА  ОПЦИЙ</t>
  </si>
  <si>
    <t>BSP - британская стандартная внутренняя резьба</t>
  </si>
  <si>
    <t>NPT - нормальная (американская) внутренняя трубная резьба</t>
  </si>
  <si>
    <t>4</t>
  </si>
  <si>
    <t>ANSI 150 RF стальные фланцы</t>
  </si>
  <si>
    <t>5</t>
  </si>
  <si>
    <t>ANSI 300 RF sстальные фланцы</t>
  </si>
  <si>
    <t>9</t>
  </si>
  <si>
    <t>Тип соединения по заказу Покупателя</t>
  </si>
  <si>
    <t>Определяется индивидуально после консультации с фабрикой</t>
  </si>
  <si>
    <t>Пример определения номера модели</t>
  </si>
  <si>
    <r>
      <t xml:space="preserve">           Вес брутто </t>
    </r>
    <r>
      <rPr>
        <i/>
        <sz val="7"/>
        <rFont val="Arial"/>
        <family val="2"/>
      </rPr>
      <t>(резьбовое исполнение)</t>
    </r>
  </si>
  <si>
    <t>0.25 kg</t>
  </si>
  <si>
    <t>0.3 kg</t>
  </si>
  <si>
    <t>1.3 kg</t>
  </si>
  <si>
    <t>2 kg</t>
  </si>
  <si>
    <t>Комплект фильтр+ воздухоудалитель</t>
  </si>
  <si>
    <t>ES025</t>
  </si>
  <si>
    <t>ES040</t>
  </si>
  <si>
    <t>40mm ( 11/2" технологическое соединение )</t>
  </si>
  <si>
    <t>ES050</t>
  </si>
  <si>
    <t xml:space="preserve">50mm ( 2" технологическое соединение)    </t>
  </si>
  <si>
    <t>ES080</t>
  </si>
  <si>
    <t>80mm ( 3" технологическое соединение)</t>
  </si>
  <si>
    <t>ES100</t>
  </si>
  <si>
    <t>100mm ( 4" технологическое соединение )</t>
  </si>
  <si>
    <t>БАЗОВАЯ ЦЕНА (только расходомеры)</t>
  </si>
  <si>
    <t>Алюминиевый корпус, сетка из нержавеющей стали</t>
  </si>
  <si>
    <t xml:space="preserve">     Номинальный размер ячейки - микрон</t>
  </si>
  <si>
    <t>ЦЕНА ОПЦИЙ</t>
  </si>
  <si>
    <t>Функциональные опции</t>
  </si>
  <si>
    <t>Только фильтр - без механизма воздухоудаления</t>
  </si>
  <si>
    <t>Фильтр, объединенный с  воздухоудалителем</t>
  </si>
  <si>
    <t>Фильтр с воздухоудалителем и обратным клапаном</t>
  </si>
  <si>
    <t xml:space="preserve">          Вес брутто (резьбовое исполнение)</t>
  </si>
  <si>
    <t>9.0 kg</t>
  </si>
  <si>
    <t>9.6 kg</t>
  </si>
  <si>
    <t>10 kg</t>
  </si>
  <si>
    <t>13 kg</t>
  </si>
  <si>
    <t>17.3 kg</t>
  </si>
  <si>
    <t>19557 cталь ( 13515  алюминий)</t>
  </si>
  <si>
    <t>21306 (включая согласующий переходной комплект)</t>
  </si>
  <si>
    <t>12826 (включая согласующий переходной комплект)</t>
  </si>
  <si>
    <t>14946 (включая согласующий переходной комплект)</t>
  </si>
  <si>
    <t xml:space="preserve">S- добавляется для стойки, на которой устанавливаются изм. приборы и добавляет 4400 руб к цене опций B2, B3, R2, R3, R4 или E0  </t>
  </si>
  <si>
    <t>0,4-4,0</t>
  </si>
  <si>
    <t>Расходомер LS-04 LCD  (1-80 л/час) с LCD дисплеем</t>
  </si>
  <si>
    <t> Расходомер LS-04  (1-80 л/час) с имп. выходом</t>
  </si>
  <si>
    <t>Расходомер LS-08 LCD  (4-200 л/час) с LCD дисплеем</t>
  </si>
  <si>
    <t> Расходомер LS-08  (4-200 л/час) с имп. выходом</t>
  </si>
  <si>
    <t>№</t>
  </si>
  <si>
    <t>1.</t>
  </si>
  <si>
    <t>Токовый выход</t>
  </si>
  <si>
    <t>да</t>
  </si>
  <si>
    <t>2.</t>
  </si>
  <si>
    <t>Встроенный GSM модем с антенной</t>
  </si>
  <si>
    <t>пока нет (01.12.12)</t>
  </si>
  <si>
    <t>3.</t>
  </si>
  <si>
    <t>Встроенный радиоканал с ответным  внешним модулем для подключения к компьютеру по RS232 или USB.</t>
  </si>
  <si>
    <t>Дополнительное оборудование</t>
  </si>
  <si>
    <t>Кабель  адаптер USB - RS232</t>
  </si>
  <si>
    <t>пока нет</t>
  </si>
  <si>
    <t>Внешний фильтр питания от помех  ФП-24 (для питания 24 Вольта)</t>
  </si>
  <si>
    <t>Внешний фильтр питания от помех  ФП-12 (для питания 12 Вольта)</t>
  </si>
  <si>
    <t>Внешний GSM модем с антенной на DIN –рейку (для прием данных от счетчика)</t>
  </si>
  <si>
    <t>Стабилизированный блок питания  +9В или +12В  или +24В с питанием от сети ~220В на DIN-рейку.</t>
  </si>
  <si>
    <t>Стабилизированный блок питания  +9В или +12В  или +24В с питанием от  нестабилизированного напряжения  +9В -+36В</t>
  </si>
  <si>
    <t>Стабилизированный блок питания  +9В или +12В  или +24В с питанием от  нестабилизированного напряжения  +18В -+75В</t>
  </si>
  <si>
    <t>Счетчик импульсов Дарконт  СИД-1</t>
  </si>
  <si>
    <t>Универсальный счетчик импульсов Дарконт СИД-1 в базовой версии</t>
  </si>
  <si>
    <t>Наличие</t>
  </si>
  <si>
    <t>Наименование, характеристики</t>
  </si>
  <si>
    <t>Кабель  адаптер USB – RS485   с  гальванической развязкой</t>
  </si>
  <si>
    <t>Кабель  адаптер USB – RS485  без гальванической развязки</t>
  </si>
  <si>
    <t>1.2.</t>
  </si>
  <si>
    <t>1.1.</t>
  </si>
  <si>
    <t>1.3.</t>
  </si>
  <si>
    <t>1.4.</t>
  </si>
  <si>
    <t>1.5.</t>
  </si>
  <si>
    <t>1.6.</t>
  </si>
  <si>
    <t>1.7.</t>
  </si>
  <si>
    <t>1.8.</t>
  </si>
  <si>
    <t>1.9.</t>
  </si>
  <si>
    <t xml:space="preserve">PPS (полифениленсульфид) </t>
  </si>
  <si>
    <t>Спецобработка PPS  шестерен  для жидкостей с высокой вязкостью</t>
  </si>
  <si>
    <t>FRT40</t>
  </si>
  <si>
    <t> 9740,0</t>
  </si>
  <si>
    <t> 10250,0</t>
  </si>
  <si>
    <t> 16450,0</t>
  </si>
  <si>
    <t> 17250,0</t>
  </si>
  <si>
    <r>
      <t xml:space="preserve">Защита лицевой панели RT40 </t>
    </r>
    <r>
      <rPr>
        <i/>
        <sz val="9"/>
        <color indexed="8"/>
        <rFont val="Times New Roman"/>
        <family val="1"/>
      </rPr>
      <t xml:space="preserve">( 3mm прозрачная акриловая пластина- особенно подходит для двигателей, работающих в шахтах) </t>
    </r>
  </si>
  <si>
    <t xml:space="preserve"> * FRT40-сумматор расхода с большим LCD монитором</t>
  </si>
  <si>
    <r>
      <t>RT40 сумматор расхода с большим LCD дисплеем -120</t>
    </r>
    <r>
      <rPr>
        <sz val="9"/>
        <color indexed="8"/>
        <rFont val="Calibri"/>
        <family val="2"/>
      </rPr>
      <t>°</t>
    </r>
    <r>
      <rPr>
        <sz val="9"/>
        <color indexed="8"/>
        <rFont val="Times New Roman"/>
        <family val="1"/>
      </rPr>
      <t>С макс.</t>
    </r>
  </si>
  <si>
    <t>RT40 сумматор потока с большим дисплеем и черным фоном</t>
  </si>
  <si>
    <t>* RT40 сумматор расхода с большим LCD экраном</t>
  </si>
  <si>
    <t>доступны для всех диаметров, для расчета стоимости используется  к-т 1,88  от указанных выше цен (кроме муфт с тройной фиксацией)</t>
  </si>
  <si>
    <t> Расходомер OGM-E-25 (20-200 л/мин) с электронным регистратором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</si>
</sst>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4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Univers"/>
      <family val="0"/>
    </font>
    <font>
      <b/>
      <sz val="8"/>
      <color indexed="8"/>
      <name val="Univers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22"/>
      <name val="Arial"/>
      <family val="2"/>
    </font>
    <font>
      <b/>
      <sz val="8"/>
      <name val="Univers"/>
      <family val="0"/>
    </font>
    <font>
      <sz val="8"/>
      <name val="Univers"/>
      <family val="0"/>
    </font>
    <font>
      <sz val="8"/>
      <color indexed="8"/>
      <name val="Univers"/>
      <family val="0"/>
    </font>
    <font>
      <i/>
      <sz val="8"/>
      <name val="Arial"/>
      <family val="2"/>
    </font>
    <font>
      <i/>
      <sz val="8"/>
      <name val="Univers"/>
      <family val="0"/>
    </font>
    <font>
      <sz val="8"/>
      <color indexed="16"/>
      <name val="Arial"/>
      <family val="2"/>
    </font>
    <font>
      <sz val="8"/>
      <color indexed="16"/>
      <name val="Univers"/>
      <family val="0"/>
    </font>
    <font>
      <i/>
      <sz val="7"/>
      <name val="Univers"/>
      <family val="0"/>
    </font>
    <font>
      <sz val="8"/>
      <color indexed="10"/>
      <name val="Univers"/>
      <family val="2"/>
    </font>
    <font>
      <i/>
      <sz val="8"/>
      <color indexed="8"/>
      <name val="Univers"/>
      <family val="0"/>
    </font>
    <font>
      <sz val="10"/>
      <name val="Arial"/>
      <family val="2"/>
    </font>
    <font>
      <b/>
      <sz val="8"/>
      <color indexed="8"/>
      <name val="Arial"/>
      <family val="2"/>
    </font>
    <font>
      <i/>
      <sz val="9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9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9"/>
      <name val="Calibri"/>
      <family val="2"/>
    </font>
    <font>
      <b/>
      <i/>
      <sz val="11"/>
      <name val="Arial"/>
      <family val="2"/>
    </font>
    <font>
      <sz val="8"/>
      <color indexed="48"/>
      <name val="Arial"/>
      <family val="2"/>
    </font>
    <font>
      <b/>
      <sz val="9"/>
      <color indexed="8"/>
      <name val="Calibri"/>
      <family val="2"/>
    </font>
    <font>
      <sz val="8"/>
      <color indexed="10"/>
      <name val="Arial"/>
      <family val="2"/>
    </font>
    <font>
      <i/>
      <sz val="8"/>
      <color indexed="8"/>
      <name val="Arial"/>
      <family val="2"/>
    </font>
    <font>
      <b/>
      <sz val="8"/>
      <color indexed="12"/>
      <name val="Univers"/>
      <family val="0"/>
    </font>
    <font>
      <sz val="8"/>
      <color indexed="12"/>
      <name val="Univers"/>
      <family val="0"/>
    </font>
    <font>
      <sz val="10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2"/>
      <name val="Arial"/>
      <family val="2"/>
    </font>
    <font>
      <b/>
      <sz val="9"/>
      <name val="Arial"/>
      <family val="2"/>
    </font>
    <font>
      <sz val="9"/>
      <name val="Univers"/>
      <family val="0"/>
    </font>
    <font>
      <b/>
      <sz val="9"/>
      <name val="Univers"/>
      <family val="2"/>
    </font>
    <font>
      <i/>
      <sz val="9"/>
      <name val="Univers"/>
      <family val="0"/>
    </font>
    <font>
      <b/>
      <sz val="10"/>
      <name val="Univers"/>
      <family val="0"/>
    </font>
    <font>
      <sz val="10"/>
      <name val="Univers"/>
      <family val="0"/>
    </font>
    <font>
      <i/>
      <sz val="9"/>
      <color indexed="8"/>
      <name val="Cambria"/>
      <family val="1"/>
    </font>
    <font>
      <sz val="9"/>
      <color indexed="8"/>
      <name val="Cambria"/>
      <family val="1"/>
    </font>
    <font>
      <b/>
      <sz val="10"/>
      <name val="Arial"/>
      <family val="2"/>
    </font>
    <font>
      <i/>
      <sz val="7"/>
      <name val="Arial"/>
      <family val="2"/>
    </font>
    <font>
      <i/>
      <sz val="7"/>
      <color indexed="13"/>
      <name val="Univers"/>
      <family val="0"/>
    </font>
    <font>
      <i/>
      <sz val="7"/>
      <color indexed="8"/>
      <name val="Univers"/>
      <family val="0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8"/>
      <name val="Times New Roman"/>
      <family val="1"/>
    </font>
    <font>
      <sz val="8.1"/>
      <name val="Times New Roman"/>
      <family val="1"/>
    </font>
    <font>
      <sz val="8.1"/>
      <name val="Calibri"/>
      <family val="2"/>
    </font>
    <font>
      <sz val="7.3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0"/>
      <color indexed="10"/>
      <name val="Univers"/>
      <family val="0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i/>
      <sz val="8"/>
      <color indexed="60"/>
      <name val="Arial"/>
      <family val="2"/>
    </font>
    <font>
      <sz val="8"/>
      <color indexed="60"/>
      <name val="Univers"/>
      <family val="0"/>
    </font>
    <font>
      <sz val="8"/>
      <color indexed="60"/>
      <name val="Arial"/>
      <family val="2"/>
    </font>
    <font>
      <sz val="11"/>
      <color indexed="63"/>
      <name val="Calibri"/>
      <family val="2"/>
    </font>
    <font>
      <sz val="11"/>
      <name val="Calibri"/>
      <family val="2"/>
    </font>
    <font>
      <u val="single"/>
      <sz val="10.55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60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8"/>
      <color rgb="FFC00000"/>
      <name val="Arial"/>
      <family val="2"/>
    </font>
    <font>
      <sz val="11"/>
      <color rgb="FFC00000"/>
      <name val="Calibri"/>
      <family val="2"/>
    </font>
    <font>
      <sz val="8"/>
      <color rgb="FFC00000"/>
      <name val="Univers"/>
      <family val="0"/>
    </font>
    <font>
      <sz val="8"/>
      <color rgb="FFC00000"/>
      <name val="Arial"/>
      <family val="2"/>
    </font>
    <font>
      <sz val="11"/>
      <color rgb="FF333333"/>
      <name val="Calibri"/>
      <family val="2"/>
    </font>
    <font>
      <sz val="14"/>
      <color theme="1"/>
      <name val="Calibri"/>
      <family val="2"/>
    </font>
    <font>
      <u val="single"/>
      <sz val="10.55"/>
      <color theme="1" tint="0.04998999834060669"/>
      <name val="Calibri"/>
      <family val="2"/>
    </font>
    <font>
      <b/>
      <sz val="8"/>
      <color theme="1"/>
      <name val="Times New Roman"/>
      <family val="1"/>
    </font>
    <font>
      <u val="single"/>
      <sz val="11"/>
      <color theme="1" tint="0.04998999834060669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mbria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rgb="FFC00000"/>
      <name val="Times New Roman"/>
      <family val="1"/>
    </font>
    <font>
      <sz val="9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/>
      <bottom/>
    </border>
    <border>
      <left style="hair"/>
      <right style="hair"/>
      <top style="hair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 style="hair"/>
      <bottom style="hair"/>
    </border>
    <border>
      <left style="thin"/>
      <right style="hair"/>
      <top/>
      <bottom/>
    </border>
    <border>
      <left style="hair"/>
      <right style="hair"/>
      <top/>
      <bottom style="hair"/>
    </border>
    <border>
      <left style="hair"/>
      <right/>
      <top style="hair"/>
      <bottom/>
    </border>
    <border>
      <left/>
      <right style="thin"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hair"/>
    </border>
    <border>
      <left/>
      <right style="thin"/>
      <top style="hair"/>
      <bottom/>
    </border>
    <border>
      <left style="hair"/>
      <right/>
      <top/>
      <bottom style="hair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hair"/>
      <right style="medium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hair"/>
      <right style="medium"/>
      <top style="hair"/>
      <bottom style="hair"/>
    </border>
    <border>
      <left/>
      <right style="medium"/>
      <top style="hair"/>
      <bottom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 style="medium"/>
      <right style="hair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hair"/>
    </border>
    <border>
      <left style="medium"/>
      <right/>
      <top style="hair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medium"/>
    </border>
    <border>
      <left/>
      <right style="hair"/>
      <top style="hair"/>
      <bottom/>
    </border>
    <border>
      <left/>
      <right style="hair"/>
      <top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 style="hair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hair"/>
      <right style="medium"/>
      <top/>
      <bottom style="hair"/>
    </border>
    <border>
      <left style="medium"/>
      <right/>
      <top style="hair"/>
      <bottom style="hair"/>
    </border>
    <border>
      <left style="hair"/>
      <right/>
      <top style="thin"/>
      <bottom/>
    </border>
    <border>
      <left style="hair"/>
      <right style="hair"/>
      <top style="thin"/>
      <bottom style="hair"/>
    </border>
    <border>
      <left style="hair"/>
      <right style="medium"/>
      <top style="thin"/>
      <bottom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/>
      <top style="hair"/>
      <bottom style="thin"/>
    </border>
    <border>
      <left style="hair"/>
      <right style="hair"/>
      <top style="thin"/>
      <bottom/>
    </border>
    <border>
      <left style="medium"/>
      <right/>
      <top style="hair"/>
      <bottom style="thin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thin"/>
    </border>
    <border>
      <left style="medium"/>
      <right style="hair"/>
      <top style="hair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hair"/>
      <right style="thin"/>
      <top style="thin"/>
      <bottom style="hair"/>
    </border>
    <border>
      <left/>
      <right style="medium"/>
      <top style="medium"/>
      <bottom style="thin"/>
    </border>
    <border>
      <left style="hair"/>
      <right style="hair"/>
      <top style="medium"/>
      <bottom/>
    </border>
    <border>
      <left style="medium"/>
      <right style="thin"/>
      <top style="medium"/>
      <bottom/>
    </border>
    <border>
      <left style="hair"/>
      <right style="medium"/>
      <top style="medium"/>
      <bottom/>
    </border>
    <border>
      <left style="hair"/>
      <right style="medium"/>
      <top style="medium"/>
      <bottom style="thin"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 style="medium"/>
      <right style="thin"/>
      <top/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/>
      <right style="thin"/>
      <top style="thin"/>
      <bottom style="thin"/>
    </border>
    <border>
      <left/>
      <right style="medium"/>
      <top style="thin"/>
      <bottom style="hair"/>
    </border>
    <border>
      <left style="thin"/>
      <right/>
      <top style="medium"/>
      <bottom style="thin"/>
    </border>
    <border>
      <left style="medium"/>
      <right style="hair"/>
      <top/>
      <bottom style="medium"/>
    </border>
    <border>
      <left style="hair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medium"/>
      <right style="hair"/>
      <top style="thin"/>
      <bottom/>
    </border>
    <border>
      <left style="medium"/>
      <right style="hair"/>
      <top/>
      <bottom style="hair"/>
    </border>
    <border>
      <left style="medium"/>
      <right/>
      <top style="thin"/>
      <bottom style="hair"/>
    </border>
    <border>
      <left/>
      <right style="medium"/>
      <top style="hair"/>
      <bottom style="thin"/>
    </border>
    <border>
      <left/>
      <right/>
      <top style="hair"/>
      <bottom style="medium"/>
    </border>
    <border>
      <left/>
      <right style="thin"/>
      <top/>
      <bottom style="medium"/>
    </border>
    <border>
      <left/>
      <right style="thin"/>
      <top style="hair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26" borderId="1" applyNumberFormat="0" applyAlignment="0" applyProtection="0"/>
    <xf numFmtId="0" fontId="103" fillId="27" borderId="2" applyNumberFormat="0" applyAlignment="0" applyProtection="0"/>
    <xf numFmtId="0" fontId="104" fillId="27" borderId="1" applyNumberFormat="0" applyAlignment="0" applyProtection="0"/>
    <xf numFmtId="0" fontId="10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28" borderId="7" applyNumberFormat="0" applyAlignment="0" applyProtection="0"/>
    <xf numFmtId="0" fontId="111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0" applyNumberFormat="0" applyFill="0" applyBorder="0" applyAlignment="0" applyProtection="0"/>
    <xf numFmtId="0" fontId="114" fillId="30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8" fillId="32" borderId="0" applyNumberFormat="0" applyBorder="0" applyAlignment="0" applyProtection="0"/>
  </cellStyleXfs>
  <cellXfs count="1690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 hidden="1"/>
    </xf>
    <xf numFmtId="0" fontId="5" fillId="0" borderId="10" xfId="0" applyFont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horizontal="right" vertical="center"/>
      <protection hidden="1"/>
    </xf>
    <xf numFmtId="0" fontId="7" fillId="0" borderId="10" xfId="0" applyFont="1" applyFill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0" fontId="6" fillId="0" borderId="10" xfId="0" applyFont="1" applyFill="1" applyBorder="1" applyAlignment="1" applyProtection="1">
      <alignment horizontal="right"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7" fillId="0" borderId="10" xfId="0" applyFont="1" applyBorder="1" applyAlignment="1" applyProtection="1">
      <alignment horizontal="left" vertical="center"/>
      <protection hidden="1"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5" fillId="33" borderId="13" xfId="0" applyFont="1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1" fontId="10" fillId="34" borderId="14" xfId="0" applyNumberFormat="1" applyFont="1" applyFill="1" applyBorder="1" applyAlignment="1" applyProtection="1">
      <alignment horizontal="center" vertical="center"/>
      <protection hidden="1"/>
    </xf>
    <xf numFmtId="1" fontId="10" fillId="34" borderId="15" xfId="0" applyNumberFormat="1" applyFont="1" applyFill="1" applyBorder="1" applyAlignment="1" applyProtection="1">
      <alignment horizontal="center" vertical="center"/>
      <protection hidden="1"/>
    </xf>
    <xf numFmtId="1" fontId="10" fillId="34" borderId="16" xfId="0" applyNumberFormat="1" applyFont="1" applyFill="1" applyBorder="1" applyAlignment="1" applyProtection="1">
      <alignment horizontal="center" vertical="center"/>
      <protection hidden="1"/>
    </xf>
    <xf numFmtId="1" fontId="10" fillId="33" borderId="17" xfId="0" applyNumberFormat="1" applyFont="1" applyFill="1" applyBorder="1" applyAlignment="1" applyProtection="1">
      <alignment horizontal="center" vertical="center"/>
      <protection hidden="1"/>
    </xf>
    <xf numFmtId="1" fontId="10" fillId="33" borderId="0" xfId="0" applyNumberFormat="1" applyFont="1" applyFill="1" applyBorder="1" applyAlignment="1" applyProtection="1">
      <alignment horizontal="center" vertical="center"/>
      <protection hidden="1"/>
    </xf>
    <xf numFmtId="1" fontId="10" fillId="34" borderId="18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left" vertical="center"/>
      <protection hidden="1"/>
    </xf>
    <xf numFmtId="1" fontId="10" fillId="33" borderId="0" xfId="0" applyNumberFormat="1" applyFont="1" applyFill="1" applyBorder="1" applyAlignment="1" applyProtection="1">
      <alignment vertical="center"/>
      <protection hidden="1"/>
    </xf>
    <xf numFmtId="1" fontId="10" fillId="0" borderId="14" xfId="0" applyNumberFormat="1" applyFont="1" applyFill="1" applyBorder="1" applyAlignment="1" applyProtection="1">
      <alignment horizontal="center" vertical="center"/>
      <protection hidden="1"/>
    </xf>
    <xf numFmtId="1" fontId="10" fillId="0" borderId="15" xfId="0" applyNumberFormat="1" applyFont="1" applyFill="1" applyBorder="1" applyAlignment="1" applyProtection="1">
      <alignment horizontal="center" vertical="center"/>
      <protection hidden="1"/>
    </xf>
    <xf numFmtId="1" fontId="10" fillId="0" borderId="16" xfId="0" applyNumberFormat="1" applyFont="1" applyFill="1" applyBorder="1" applyAlignment="1" applyProtection="1">
      <alignment horizontal="center" vertical="center"/>
      <protection hidden="1"/>
    </xf>
    <xf numFmtId="1" fontId="6" fillId="33" borderId="0" xfId="0" applyNumberFormat="1" applyFont="1" applyFill="1" applyBorder="1" applyAlignment="1" applyProtection="1">
      <alignment vertical="center"/>
      <protection hidden="1"/>
    </xf>
    <xf numFmtId="0" fontId="10" fillId="33" borderId="10" xfId="0" applyFont="1" applyFill="1" applyBorder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10" fillId="33" borderId="19" xfId="0" applyFont="1" applyFill="1" applyBorder="1" applyAlignment="1" applyProtection="1">
      <alignment horizontal="centerContinuous" vertical="center"/>
      <protection hidden="1"/>
    </xf>
    <xf numFmtId="0" fontId="10" fillId="33" borderId="20" xfId="0" applyFont="1" applyFill="1" applyBorder="1" applyAlignment="1" applyProtection="1">
      <alignment horizontal="centerContinuous" vertical="center"/>
      <protection hidden="1"/>
    </xf>
    <xf numFmtId="0" fontId="5" fillId="35" borderId="0" xfId="0" applyFont="1" applyFill="1" applyBorder="1" applyAlignment="1" applyProtection="1">
      <alignment vertical="center"/>
      <protection hidden="1"/>
    </xf>
    <xf numFmtId="0" fontId="5" fillId="33" borderId="11" xfId="0" applyFont="1" applyFill="1" applyBorder="1" applyAlignment="1" applyProtection="1">
      <alignment vertical="center"/>
      <protection hidden="1"/>
    </xf>
    <xf numFmtId="0" fontId="5" fillId="33" borderId="12" xfId="0" applyFont="1" applyFill="1" applyBorder="1" applyAlignment="1" applyProtection="1">
      <alignment vertical="center"/>
      <protection hidden="1"/>
    </xf>
    <xf numFmtId="1" fontId="10" fillId="34" borderId="10" xfId="0" applyNumberFormat="1" applyFont="1" applyFill="1" applyBorder="1" applyAlignment="1" applyProtection="1">
      <alignment horizontal="center" vertical="center"/>
      <protection hidden="1"/>
    </xf>
    <xf numFmtId="1" fontId="10" fillId="34" borderId="21" xfId="0" applyNumberFormat="1" applyFont="1" applyFill="1" applyBorder="1" applyAlignment="1" applyProtection="1">
      <alignment horizontal="center" vertical="center"/>
      <protection hidden="1"/>
    </xf>
    <xf numFmtId="1" fontId="6" fillId="33" borderId="22" xfId="0" applyNumberFormat="1" applyFont="1" applyFill="1" applyBorder="1" applyAlignment="1" applyProtection="1">
      <alignment vertical="center"/>
      <protection hidden="1"/>
    </xf>
    <xf numFmtId="1" fontId="10" fillId="34" borderId="23" xfId="0" applyNumberFormat="1" applyFont="1" applyFill="1" applyBorder="1" applyAlignment="1" applyProtection="1">
      <alignment horizontal="center" vertical="center"/>
      <protection hidden="1"/>
    </xf>
    <xf numFmtId="0" fontId="10" fillId="33" borderId="24" xfId="0" applyFont="1" applyFill="1" applyBorder="1" applyAlignment="1" applyProtection="1" quotePrefix="1">
      <alignment horizontal="center" vertical="center"/>
      <protection hidden="1"/>
    </xf>
    <xf numFmtId="1" fontId="6" fillId="33" borderId="11" xfId="0" applyNumberFormat="1" applyFont="1" applyFill="1" applyBorder="1" applyAlignment="1" applyProtection="1">
      <alignment horizontal="center" vertical="center"/>
      <protection hidden="1"/>
    </xf>
    <xf numFmtId="1" fontId="6" fillId="33" borderId="11" xfId="0" applyNumberFormat="1" applyFont="1" applyFill="1" applyBorder="1" applyAlignment="1" applyProtection="1">
      <alignment horizontal="centerContinuous" vertical="center"/>
      <protection hidden="1"/>
    </xf>
    <xf numFmtId="0" fontId="5" fillId="33" borderId="25" xfId="0" applyFont="1" applyFill="1" applyBorder="1" applyAlignment="1" applyProtection="1">
      <alignment vertical="center"/>
      <protection hidden="1"/>
    </xf>
    <xf numFmtId="1" fontId="14" fillId="33" borderId="0" xfId="0" applyNumberFormat="1" applyFont="1" applyFill="1" applyBorder="1" applyAlignment="1" applyProtection="1">
      <alignment horizontal="center" vertical="center"/>
      <protection hidden="1"/>
    </xf>
    <xf numFmtId="1" fontId="14" fillId="33" borderId="12" xfId="0" applyNumberFormat="1" applyFont="1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>
      <alignment/>
    </xf>
    <xf numFmtId="0" fontId="0" fillId="33" borderId="26" xfId="0" applyFill="1" applyBorder="1" applyAlignment="1">
      <alignment/>
    </xf>
    <xf numFmtId="1" fontId="10" fillId="0" borderId="14" xfId="0" applyNumberFormat="1" applyFont="1" applyBorder="1" applyAlignment="1" applyProtection="1">
      <alignment horizontal="center" vertical="center"/>
      <protection hidden="1"/>
    </xf>
    <xf numFmtId="1" fontId="10" fillId="0" borderId="16" xfId="0" applyNumberFormat="1" applyFont="1" applyBorder="1" applyAlignment="1" applyProtection="1">
      <alignment horizontal="center" vertical="center"/>
      <protection hidden="1"/>
    </xf>
    <xf numFmtId="1" fontId="10" fillId="33" borderId="10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1" fontId="6" fillId="33" borderId="27" xfId="0" applyNumberFormat="1" applyFont="1" applyFill="1" applyBorder="1" applyAlignment="1" applyProtection="1">
      <alignment horizontal="centerContinuous" vertical="center"/>
      <protection hidden="1"/>
    </xf>
    <xf numFmtId="1" fontId="10" fillId="33" borderId="24" xfId="0" applyNumberFormat="1" applyFont="1" applyFill="1" applyBorder="1" applyAlignment="1" applyProtection="1">
      <alignment vertical="center"/>
      <protection hidden="1"/>
    </xf>
    <xf numFmtId="0" fontId="10" fillId="33" borderId="11" xfId="0" applyFont="1" applyFill="1" applyBorder="1" applyAlignment="1">
      <alignment/>
    </xf>
    <xf numFmtId="0" fontId="0" fillId="33" borderId="11" xfId="0" applyFill="1" applyBorder="1" applyAlignment="1" applyProtection="1">
      <alignment vertical="center"/>
      <protection hidden="1"/>
    </xf>
    <xf numFmtId="0" fontId="5" fillId="33" borderId="11" xfId="0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 quotePrefix="1">
      <alignment horizontal="left" vertical="center"/>
      <protection hidden="1"/>
    </xf>
    <xf numFmtId="0" fontId="0" fillId="33" borderId="12" xfId="0" applyFill="1" applyBorder="1" applyAlignment="1" applyProtection="1">
      <alignment vertical="center"/>
      <protection hidden="1"/>
    </xf>
    <xf numFmtId="0" fontId="5" fillId="0" borderId="12" xfId="0" applyFont="1" applyBorder="1" applyAlignment="1" applyProtection="1" quotePrefix="1">
      <alignment horizontal="left" vertical="center"/>
      <protection hidden="1"/>
    </xf>
    <xf numFmtId="0" fontId="8" fillId="33" borderId="28" xfId="0" applyFont="1" applyFill="1" applyBorder="1" applyAlignment="1" applyProtection="1" quotePrefix="1">
      <alignment horizontal="left"/>
      <protection hidden="1"/>
    </xf>
    <xf numFmtId="0" fontId="3" fillId="0" borderId="10" xfId="0" applyFont="1" applyFill="1" applyBorder="1" applyAlignment="1" applyProtection="1" quotePrefix="1">
      <alignment horizontal="center" vertical="center"/>
      <protection hidden="1"/>
    </xf>
    <xf numFmtId="0" fontId="0" fillId="33" borderId="24" xfId="0" applyFill="1" applyBorder="1" applyAlignment="1" applyProtection="1">
      <alignment vertical="center"/>
      <protection hidden="1"/>
    </xf>
    <xf numFmtId="0" fontId="10" fillId="33" borderId="29" xfId="0" applyFont="1" applyFill="1" applyBorder="1" applyAlignment="1" applyProtection="1">
      <alignment vertical="center"/>
      <protection hidden="1"/>
    </xf>
    <xf numFmtId="0" fontId="10" fillId="33" borderId="12" xfId="0" applyFont="1" applyFill="1" applyBorder="1" applyAlignment="1" applyProtection="1" quotePrefix="1">
      <alignment horizontal="center" vertical="center"/>
      <protection hidden="1"/>
    </xf>
    <xf numFmtId="0" fontId="10" fillId="33" borderId="12" xfId="0" applyFont="1" applyFill="1" applyBorder="1" applyAlignment="1" applyProtection="1">
      <alignment vertical="center"/>
      <protection hidden="1"/>
    </xf>
    <xf numFmtId="0" fontId="10" fillId="33" borderId="12" xfId="0" applyFont="1" applyFill="1" applyBorder="1" applyAlignment="1" applyProtection="1">
      <alignment horizontal="center" vertical="center"/>
      <protection hidden="1"/>
    </xf>
    <xf numFmtId="0" fontId="9" fillId="33" borderId="10" xfId="0" applyFont="1" applyFill="1" applyBorder="1" applyAlignment="1" applyProtection="1" quotePrefix="1">
      <alignment/>
      <protection hidden="1"/>
    </xf>
    <xf numFmtId="1" fontId="10" fillId="33" borderId="21" xfId="0" applyNumberFormat="1" applyFont="1" applyFill="1" applyBorder="1" applyAlignment="1" applyProtection="1">
      <alignment horizontal="center" vertical="center"/>
      <protection hidden="1"/>
    </xf>
    <xf numFmtId="0" fontId="10" fillId="33" borderId="10" xfId="0" applyFont="1" applyFill="1" applyBorder="1" applyAlignment="1" applyProtection="1">
      <alignment vertical="center"/>
      <protection hidden="1"/>
    </xf>
    <xf numFmtId="0" fontId="10" fillId="33" borderId="10" xfId="0" applyFont="1" applyFill="1" applyBorder="1" applyAlignment="1" applyProtection="1" quotePrefix="1">
      <alignment horizontal="center" vertical="center"/>
      <protection hidden="1"/>
    </xf>
    <xf numFmtId="0" fontId="17" fillId="33" borderId="10" xfId="0" applyFont="1" applyFill="1" applyBorder="1" applyAlignment="1" applyProtection="1">
      <alignment horizontal="center" vertical="center"/>
      <protection hidden="1"/>
    </xf>
    <xf numFmtId="0" fontId="10" fillId="33" borderId="10" xfId="0" applyFont="1" applyFill="1" applyBorder="1" applyAlignment="1" applyProtection="1">
      <alignment horizontal="center" vertical="center"/>
      <protection hidden="1"/>
    </xf>
    <xf numFmtId="0" fontId="9" fillId="33" borderId="10" xfId="0" applyFont="1" applyFill="1" applyBorder="1" applyAlignment="1" applyProtection="1">
      <alignment vertical="center"/>
      <protection hidden="1"/>
    </xf>
    <xf numFmtId="0" fontId="9" fillId="33" borderId="10" xfId="0" applyFont="1" applyFill="1" applyBorder="1" applyAlignment="1" applyProtection="1" quotePrefix="1">
      <alignment/>
      <protection hidden="1"/>
    </xf>
    <xf numFmtId="1" fontId="10" fillId="33" borderId="10" xfId="0" applyNumberFormat="1" applyFont="1" applyFill="1" applyBorder="1" applyAlignment="1" applyProtection="1">
      <alignment vertical="center"/>
      <protection hidden="1"/>
    </xf>
    <xf numFmtId="0" fontId="10" fillId="33" borderId="21" xfId="0" applyFont="1" applyFill="1" applyBorder="1" applyAlignment="1" applyProtection="1">
      <alignment vertical="center"/>
      <protection hidden="1"/>
    </xf>
    <xf numFmtId="0" fontId="10" fillId="33" borderId="10" xfId="0" applyFont="1" applyFill="1" applyBorder="1" applyAlignment="1" applyProtection="1" quotePrefix="1">
      <alignment horizontal="center" vertical="center"/>
      <protection hidden="1"/>
    </xf>
    <xf numFmtId="0" fontId="17" fillId="33" borderId="10" xfId="35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vertical="center"/>
      <protection hidden="1"/>
    </xf>
    <xf numFmtId="0" fontId="10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1" xfId="35" applyFont="1" applyFill="1" applyBorder="1" applyAlignment="1" applyProtection="1">
      <alignment horizontal="center" vertical="center"/>
      <protection hidden="1"/>
    </xf>
    <xf numFmtId="0" fontId="3" fillId="0" borderId="0" xfId="35" applyFont="1" applyFill="1" applyBorder="1" applyAlignment="1" applyProtection="1" quotePrefix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right" vertical="center"/>
      <protection hidden="1"/>
    </xf>
    <xf numFmtId="0" fontId="5" fillId="36" borderId="0" xfId="0" applyFont="1" applyFill="1" applyBorder="1" applyAlignment="1" applyProtection="1" quotePrefix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5" fillId="33" borderId="20" xfId="0" applyFont="1" applyFill="1" applyBorder="1" applyAlignment="1" applyProtection="1">
      <alignment vertical="center"/>
      <protection hidden="1"/>
    </xf>
    <xf numFmtId="0" fontId="5" fillId="33" borderId="19" xfId="0" applyFont="1" applyFill="1" applyBorder="1" applyAlignment="1" applyProtection="1">
      <alignment vertical="center"/>
      <protection hidden="1"/>
    </xf>
    <xf numFmtId="0" fontId="5" fillId="33" borderId="17" xfId="0" applyFont="1" applyFill="1" applyBorder="1" applyAlignment="1" applyProtection="1">
      <alignment vertical="center"/>
      <protection hidden="1"/>
    </xf>
    <xf numFmtId="0" fontId="0" fillId="33" borderId="20" xfId="0" applyFill="1" applyBorder="1" applyAlignment="1" applyProtection="1">
      <alignment vertical="center"/>
      <protection hidden="1"/>
    </xf>
    <xf numFmtId="0" fontId="0" fillId="33" borderId="20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49" fontId="0" fillId="33" borderId="0" xfId="0" applyNumberFormat="1" applyFill="1" applyBorder="1" applyAlignment="1" applyProtection="1">
      <alignment horizontal="right" vertical="center"/>
      <protection hidden="1"/>
    </xf>
    <xf numFmtId="49" fontId="0" fillId="33" borderId="0" xfId="0" applyNumberFormat="1" applyFill="1" applyBorder="1" applyAlignment="1" applyProtection="1">
      <alignment horizontal="centerContinuous" vertical="center"/>
      <protection hidden="1"/>
    </xf>
    <xf numFmtId="49" fontId="5" fillId="33" borderId="0" xfId="0" applyNumberFormat="1" applyFont="1" applyFill="1" applyBorder="1" applyAlignment="1" applyProtection="1">
      <alignment horizontal="center" vertical="center"/>
      <protection hidden="1"/>
    </xf>
    <xf numFmtId="49" fontId="0" fillId="33" borderId="0" xfId="0" applyNumberFormat="1" applyFill="1" applyBorder="1" applyAlignment="1" applyProtection="1">
      <alignment vertical="center"/>
      <protection hidden="1"/>
    </xf>
    <xf numFmtId="49" fontId="0" fillId="33" borderId="0" xfId="0" applyNumberFormat="1" applyFill="1" applyBorder="1" applyAlignment="1" applyProtection="1">
      <alignment horizontal="center" vertical="center"/>
      <protection hidden="1"/>
    </xf>
    <xf numFmtId="49" fontId="5" fillId="0" borderId="26" xfId="0" applyNumberFormat="1" applyFont="1" applyBorder="1" applyAlignment="1" applyProtection="1">
      <alignment horizontal="left" vertical="center"/>
      <protection hidden="1"/>
    </xf>
    <xf numFmtId="49" fontId="7" fillId="0" borderId="30" xfId="0" applyNumberFormat="1" applyFont="1" applyBorder="1" applyAlignment="1" applyProtection="1">
      <alignment horizontal="left" vertical="center"/>
      <protection hidden="1"/>
    </xf>
    <xf numFmtId="49" fontId="9" fillId="37" borderId="0" xfId="0" applyNumberFormat="1" applyFont="1" applyFill="1" applyBorder="1" applyAlignment="1" applyProtection="1">
      <alignment horizontal="center" vertical="center"/>
      <protection hidden="1"/>
    </xf>
    <xf numFmtId="49" fontId="5" fillId="33" borderId="0" xfId="0" applyNumberFormat="1" applyFont="1" applyFill="1" applyBorder="1" applyAlignment="1" applyProtection="1">
      <alignment horizontal="right" vertical="center"/>
      <protection hidden="1"/>
    </xf>
    <xf numFmtId="49" fontId="6" fillId="0" borderId="14" xfId="0" applyNumberFormat="1" applyFont="1" applyBorder="1" applyAlignment="1" applyProtection="1">
      <alignment horizontal="left" vertical="center"/>
      <protection hidden="1"/>
    </xf>
    <xf numFmtId="49" fontId="9" fillId="37" borderId="10" xfId="0" applyNumberFormat="1" applyFont="1" applyFill="1" applyBorder="1" applyAlignment="1" applyProtection="1">
      <alignment horizontal="center" vertical="center"/>
      <protection hidden="1"/>
    </xf>
    <xf numFmtId="49" fontId="9" fillId="37" borderId="16" xfId="0" applyNumberFormat="1" applyFont="1" applyFill="1" applyBorder="1" applyAlignment="1" applyProtection="1">
      <alignment horizontal="center" vertical="center"/>
      <protection hidden="1"/>
    </xf>
    <xf numFmtId="49" fontId="7" fillId="0" borderId="14" xfId="0" applyNumberFormat="1" applyFont="1" applyFill="1" applyBorder="1" applyAlignment="1" applyProtection="1">
      <alignment horizontal="left" vertical="center"/>
      <protection hidden="1"/>
    </xf>
    <xf numFmtId="49" fontId="9" fillId="0" borderId="10" xfId="0" applyNumberFormat="1" applyFont="1" applyFill="1" applyBorder="1" applyAlignment="1" applyProtection="1">
      <alignment horizontal="center" vertical="center"/>
      <protection hidden="1"/>
    </xf>
    <xf numFmtId="49" fontId="9" fillId="0" borderId="29" xfId="0" applyNumberFormat="1" applyFont="1" applyFill="1" applyBorder="1" applyAlignment="1" applyProtection="1">
      <alignment horizontal="center" vertical="center"/>
      <protection hidden="1"/>
    </xf>
    <xf numFmtId="49" fontId="5" fillId="0" borderId="29" xfId="0" applyNumberFormat="1" applyFont="1" applyBorder="1" applyAlignment="1" applyProtection="1">
      <alignment horizontal="center" vertical="center"/>
      <protection hidden="1"/>
    </xf>
    <xf numFmtId="49" fontId="7" fillId="0" borderId="31" xfId="0" applyNumberFormat="1" applyFont="1" applyBorder="1" applyAlignment="1" applyProtection="1">
      <alignment horizontal="left" vertical="center"/>
      <protection hidden="1"/>
    </xf>
    <xf numFmtId="49" fontId="9" fillId="0" borderId="12" xfId="0" applyNumberFormat="1" applyFont="1" applyFill="1" applyBorder="1" applyAlignment="1" applyProtection="1">
      <alignment horizontal="center" vertical="center"/>
      <protection hidden="1"/>
    </xf>
    <xf numFmtId="49" fontId="9" fillId="0" borderId="21" xfId="0" applyNumberFormat="1" applyFont="1" applyFill="1" applyBorder="1" applyAlignment="1" applyProtection="1">
      <alignment horizontal="center" vertical="center"/>
      <protection hidden="1"/>
    </xf>
    <xf numFmtId="49" fontId="5" fillId="0" borderId="23" xfId="0" applyNumberFormat="1" applyFont="1" applyBorder="1" applyAlignment="1" applyProtection="1">
      <alignment horizontal="center" vertical="center"/>
      <protection hidden="1"/>
    </xf>
    <xf numFmtId="49" fontId="5" fillId="0" borderId="29" xfId="0" applyNumberFormat="1" applyFont="1" applyFill="1" applyBorder="1" applyAlignment="1" applyProtection="1">
      <alignment horizontal="right" vertical="center"/>
      <protection hidden="1"/>
    </xf>
    <xf numFmtId="49" fontId="8" fillId="33" borderId="0" xfId="0" applyNumberFormat="1" applyFont="1" applyFill="1" applyBorder="1" applyAlignment="1" applyProtection="1" quotePrefix="1">
      <alignment horizontal="center" vertical="center"/>
      <protection hidden="1"/>
    </xf>
    <xf numFmtId="49" fontId="8" fillId="0" borderId="17" xfId="0" applyNumberFormat="1" applyFont="1" applyFill="1" applyBorder="1" applyAlignment="1" applyProtection="1" quotePrefix="1">
      <alignment horizontal="center" vertical="center"/>
      <protection hidden="1"/>
    </xf>
    <xf numFmtId="49" fontId="8" fillId="0" borderId="23" xfId="0" applyNumberFormat="1" applyFont="1" applyFill="1" applyBorder="1" applyAlignment="1" applyProtection="1">
      <alignment horizontal="center" vertical="center"/>
      <protection hidden="1"/>
    </xf>
    <xf numFmtId="49" fontId="5" fillId="0" borderId="23" xfId="0" applyNumberFormat="1" applyFont="1" applyBorder="1" applyAlignment="1" applyProtection="1">
      <alignment horizontal="left" vertical="center"/>
      <protection hidden="1"/>
    </xf>
    <xf numFmtId="49" fontId="8" fillId="0" borderId="16" xfId="0" applyNumberFormat="1" applyFont="1" applyFill="1" applyBorder="1" applyAlignment="1" applyProtection="1" quotePrefix="1">
      <alignment horizontal="center" vertical="center"/>
      <protection hidden="1"/>
    </xf>
    <xf numFmtId="49" fontId="8" fillId="0" borderId="0" xfId="0" applyNumberFormat="1" applyFont="1" applyFill="1" applyBorder="1" applyAlignment="1" applyProtection="1" quotePrefix="1">
      <alignment horizontal="center" vertical="center"/>
      <protection hidden="1"/>
    </xf>
    <xf numFmtId="49" fontId="9" fillId="37" borderId="12" xfId="0" applyNumberFormat="1" applyFont="1" applyFill="1" applyBorder="1" applyAlignment="1" applyProtection="1">
      <alignment horizontal="center" vertical="center"/>
      <protection hidden="1"/>
    </xf>
    <xf numFmtId="49" fontId="9" fillId="37" borderId="21" xfId="0" applyNumberFormat="1" applyFont="1" applyFill="1" applyBorder="1" applyAlignment="1" applyProtection="1">
      <alignment horizontal="center" vertical="center"/>
      <protection hidden="1"/>
    </xf>
    <xf numFmtId="49" fontId="8" fillId="0" borderId="23" xfId="0" applyNumberFormat="1" applyFont="1" applyFill="1" applyBorder="1" applyAlignment="1" applyProtection="1" quotePrefix="1">
      <alignment horizontal="center" vertical="center"/>
      <protection hidden="1"/>
    </xf>
    <xf numFmtId="49" fontId="8" fillId="0" borderId="29" xfId="0" applyNumberFormat="1" applyFont="1" applyFill="1" applyBorder="1" applyAlignment="1" applyProtection="1" quotePrefix="1">
      <alignment horizontal="center" vertical="center"/>
      <protection hidden="1"/>
    </xf>
    <xf numFmtId="49" fontId="6" fillId="33" borderId="0" xfId="0" applyNumberFormat="1" applyFont="1" applyFill="1" applyBorder="1" applyAlignment="1" applyProtection="1">
      <alignment vertical="center"/>
      <protection hidden="1"/>
    </xf>
    <xf numFmtId="49" fontId="3" fillId="33" borderId="12" xfId="0" applyNumberFormat="1" applyFont="1" applyFill="1" applyBorder="1" applyAlignment="1" applyProtection="1">
      <alignment horizontal="centerContinuous" vertical="center"/>
      <protection hidden="1"/>
    </xf>
    <xf numFmtId="49" fontId="3" fillId="33" borderId="10" xfId="0" applyNumberFormat="1" applyFont="1" applyFill="1" applyBorder="1" applyAlignment="1" applyProtection="1">
      <alignment horizontal="center" vertical="center"/>
      <protection hidden="1"/>
    </xf>
    <xf numFmtId="49" fontId="3" fillId="33" borderId="0" xfId="0" applyNumberFormat="1" applyFont="1" applyFill="1" applyBorder="1" applyAlignment="1" applyProtection="1">
      <alignment horizontal="center" vertical="center"/>
      <protection hidden="1"/>
    </xf>
    <xf numFmtId="49" fontId="6" fillId="33" borderId="0" xfId="0" applyNumberFormat="1" applyFont="1" applyFill="1" applyBorder="1" applyAlignment="1" applyProtection="1">
      <alignment horizontal="centerContinuous" vertical="center"/>
      <protection hidden="1"/>
    </xf>
    <xf numFmtId="49" fontId="10" fillId="33" borderId="0" xfId="0" applyNumberFormat="1" applyFont="1" applyFill="1" applyBorder="1" applyAlignment="1" applyProtection="1">
      <alignment vertical="center"/>
      <protection hidden="1"/>
    </xf>
    <xf numFmtId="49" fontId="6" fillId="33" borderId="32" xfId="0" applyNumberFormat="1" applyFont="1" applyFill="1" applyBorder="1" applyAlignment="1" applyProtection="1">
      <alignment vertical="center"/>
      <protection hidden="1"/>
    </xf>
    <xf numFmtId="49" fontId="10" fillId="33" borderId="32" xfId="0" applyNumberFormat="1" applyFont="1" applyFill="1" applyBorder="1" applyAlignment="1" applyProtection="1">
      <alignment horizontal="center" vertical="center"/>
      <protection hidden="1"/>
    </xf>
    <xf numFmtId="49" fontId="6" fillId="33" borderId="33" xfId="0" applyNumberFormat="1" applyFont="1" applyFill="1" applyBorder="1" applyAlignment="1" applyProtection="1">
      <alignment vertical="center"/>
      <protection hidden="1"/>
    </xf>
    <xf numFmtId="49" fontId="3" fillId="33" borderId="33" xfId="0" applyNumberFormat="1" applyFont="1" applyFill="1" applyBorder="1" applyAlignment="1" applyProtection="1">
      <alignment horizontal="centerContinuous"/>
      <protection hidden="1"/>
    </xf>
    <xf numFmtId="49" fontId="10" fillId="33" borderId="33" xfId="0" applyNumberFormat="1" applyFont="1" applyFill="1" applyBorder="1" applyAlignment="1" applyProtection="1">
      <alignment horizontal="centerContinuous" vertical="center"/>
      <protection hidden="1"/>
    </xf>
    <xf numFmtId="49" fontId="6" fillId="33" borderId="12" xfId="0" applyNumberFormat="1" applyFont="1" applyFill="1" applyBorder="1" applyAlignment="1" applyProtection="1">
      <alignment vertical="center"/>
      <protection hidden="1"/>
    </xf>
    <xf numFmtId="49" fontId="0" fillId="33" borderId="32" xfId="0" applyNumberFormat="1" applyFill="1" applyBorder="1" applyAlignment="1" applyProtection="1">
      <alignment vertical="center"/>
      <protection hidden="1"/>
    </xf>
    <xf numFmtId="49" fontId="0" fillId="33" borderId="34" xfId="0" applyNumberFormat="1" applyFill="1" applyBorder="1" applyAlignment="1" applyProtection="1">
      <alignment vertical="center"/>
      <protection hidden="1"/>
    </xf>
    <xf numFmtId="49" fontId="6" fillId="34" borderId="16" xfId="0" applyNumberFormat="1" applyFont="1" applyFill="1" applyBorder="1" applyAlignment="1" applyProtection="1">
      <alignment horizontal="center" vertical="center"/>
      <protection hidden="1"/>
    </xf>
    <xf numFmtId="49" fontId="6" fillId="33" borderId="21" xfId="0" applyNumberFormat="1" applyFont="1" applyFill="1" applyBorder="1" applyAlignment="1" applyProtection="1" quotePrefix="1">
      <alignment horizontal="center" vertical="center"/>
      <protection hidden="1"/>
    </xf>
    <xf numFmtId="49" fontId="6" fillId="33" borderId="10" xfId="0" applyNumberFormat="1" applyFont="1" applyFill="1" applyBorder="1" applyAlignment="1" applyProtection="1" quotePrefix="1">
      <alignment horizontal="center" vertical="center"/>
      <protection hidden="1"/>
    </xf>
    <xf numFmtId="49" fontId="5" fillId="33" borderId="17" xfId="0" applyNumberFormat="1" applyFont="1" applyFill="1" applyBorder="1" applyAlignment="1" applyProtection="1">
      <alignment/>
      <protection hidden="1"/>
    </xf>
    <xf numFmtId="49" fontId="5" fillId="33" borderId="0" xfId="0" applyNumberFormat="1" applyFont="1" applyFill="1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Alignment="1">
      <alignment/>
    </xf>
    <xf numFmtId="0" fontId="6" fillId="33" borderId="27" xfId="0" applyFont="1" applyFill="1" applyBorder="1" applyAlignment="1" applyProtection="1">
      <alignment vertical="center"/>
      <protection hidden="1"/>
    </xf>
    <xf numFmtId="0" fontId="13" fillId="33" borderId="0" xfId="0" applyFont="1" applyFill="1" applyBorder="1" applyAlignment="1" applyProtection="1">
      <alignment vertical="center"/>
      <protection hidden="1"/>
    </xf>
    <xf numFmtId="0" fontId="13" fillId="33" borderId="12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6" fillId="33" borderId="12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0" fontId="5" fillId="0" borderId="10" xfId="0" applyFont="1" applyBorder="1" applyAlignment="1">
      <alignment horizontal="left"/>
    </xf>
    <xf numFmtId="0" fontId="23" fillId="33" borderId="12" xfId="0" applyFont="1" applyFill="1" applyBorder="1" applyAlignment="1" applyProtection="1">
      <alignment vertical="center"/>
      <protection hidden="1"/>
    </xf>
    <xf numFmtId="0" fontId="21" fillId="0" borderId="10" xfId="0" applyFont="1" applyFill="1" applyBorder="1" applyAlignment="1" applyProtection="1">
      <alignment vertical="center"/>
      <protection hidden="1"/>
    </xf>
    <xf numFmtId="0" fontId="21" fillId="0" borderId="25" xfId="0" applyFont="1" applyFill="1" applyBorder="1" applyAlignment="1" applyProtection="1">
      <alignment vertical="center"/>
      <protection hidden="1"/>
    </xf>
    <xf numFmtId="0" fontId="0" fillId="33" borderId="12" xfId="0" applyFill="1" applyBorder="1" applyAlignment="1" applyProtection="1">
      <alignment horizontal="left" vertical="center"/>
      <protection hidden="1"/>
    </xf>
    <xf numFmtId="0" fontId="12" fillId="33" borderId="11" xfId="0" applyFont="1" applyFill="1" applyBorder="1" applyAlignment="1" applyProtection="1">
      <alignment horizontal="left" vertical="center"/>
      <protection hidden="1"/>
    </xf>
    <xf numFmtId="0" fontId="17" fillId="33" borderId="12" xfId="35" applyFont="1" applyFill="1" applyBorder="1" applyAlignment="1" applyProtection="1">
      <alignment horizontal="left" vertical="center"/>
      <protection hidden="1"/>
    </xf>
    <xf numFmtId="1" fontId="9" fillId="0" borderId="16" xfId="0" applyNumberFormat="1" applyFont="1" applyFill="1" applyBorder="1" applyAlignment="1" applyProtection="1">
      <alignment horizontal="center" vertical="center"/>
      <protection hidden="1"/>
    </xf>
    <xf numFmtId="1" fontId="9" fillId="34" borderId="15" xfId="0" applyNumberFormat="1" applyFont="1" applyFill="1" applyBorder="1" applyAlignment="1" applyProtection="1">
      <alignment horizontal="center" vertical="center"/>
      <protection hidden="1"/>
    </xf>
    <xf numFmtId="1" fontId="9" fillId="34" borderId="16" xfId="0" applyNumberFormat="1" applyFont="1" applyFill="1" applyBorder="1" applyAlignment="1" applyProtection="1">
      <alignment horizontal="center" vertical="center"/>
      <protection hidden="1"/>
    </xf>
    <xf numFmtId="49" fontId="3" fillId="33" borderId="33" xfId="0" applyNumberFormat="1" applyFont="1" applyFill="1" applyBorder="1" applyAlignment="1" applyProtection="1">
      <alignment horizontal="center"/>
      <protection hidden="1"/>
    </xf>
    <xf numFmtId="49" fontId="10" fillId="33" borderId="33" xfId="0" applyNumberFormat="1" applyFont="1" applyFill="1" applyBorder="1" applyAlignment="1" applyProtection="1">
      <alignment horizontal="center" vertical="center"/>
      <protection hidden="1"/>
    </xf>
    <xf numFmtId="49" fontId="3" fillId="33" borderId="33" xfId="0" applyNumberFormat="1" applyFont="1" applyFill="1" applyBorder="1" applyAlignment="1" applyProtection="1">
      <alignment vertical="center"/>
      <protection hidden="1"/>
    </xf>
    <xf numFmtId="0" fontId="23" fillId="33" borderId="12" xfId="0" applyFont="1" applyFill="1" applyBorder="1" applyAlignment="1" applyProtection="1">
      <alignment/>
      <protection hidden="1"/>
    </xf>
    <xf numFmtId="0" fontId="6" fillId="0" borderId="11" xfId="0" applyFont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49" fontId="3" fillId="33" borderId="33" xfId="0" applyNumberFormat="1" applyFont="1" applyFill="1" applyBorder="1" applyAlignment="1" applyProtection="1">
      <alignment horizontal="centerContinuous" vertical="center"/>
      <protection hidden="1"/>
    </xf>
    <xf numFmtId="1" fontId="10" fillId="0" borderId="15" xfId="0" applyNumberFormat="1" applyFont="1" applyBorder="1" applyAlignment="1" applyProtection="1">
      <alignment horizontal="center" vertical="center"/>
      <protection hidden="1"/>
    </xf>
    <xf numFmtId="0" fontId="0" fillId="33" borderId="35" xfId="0" applyFill="1" applyBorder="1" applyAlignment="1" applyProtection="1">
      <alignment vertical="center"/>
      <protection hidden="1"/>
    </xf>
    <xf numFmtId="0" fontId="23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right"/>
      <protection hidden="1"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/>
    </xf>
    <xf numFmtId="49" fontId="0" fillId="33" borderId="36" xfId="0" applyNumberFormat="1" applyFill="1" applyBorder="1" applyAlignment="1" applyProtection="1">
      <alignment horizontal="right" vertical="center"/>
      <protection hidden="1"/>
    </xf>
    <xf numFmtId="49" fontId="5" fillId="33" borderId="0" xfId="0" applyNumberFormat="1" applyFont="1" applyFill="1" applyBorder="1" applyAlignment="1" applyProtection="1">
      <alignment vertical="center"/>
      <protection hidden="1"/>
    </xf>
    <xf numFmtId="49" fontId="5" fillId="33" borderId="0" xfId="0" applyNumberFormat="1" applyFont="1" applyFill="1" applyBorder="1" applyAlignment="1" applyProtection="1">
      <alignment horizontal="left" vertical="center"/>
      <protection hidden="1"/>
    </xf>
    <xf numFmtId="49" fontId="5" fillId="33" borderId="36" xfId="0" applyNumberFormat="1" applyFont="1" applyFill="1" applyBorder="1" applyAlignment="1" applyProtection="1">
      <alignment horizontal="left" vertical="center"/>
      <protection hidden="1"/>
    </xf>
    <xf numFmtId="49" fontId="5" fillId="33" borderId="36" xfId="0" applyNumberFormat="1" applyFont="1" applyFill="1" applyBorder="1" applyAlignment="1" applyProtection="1">
      <alignment horizontal="right" vertical="center"/>
      <protection hidden="1"/>
    </xf>
    <xf numFmtId="49" fontId="8" fillId="33" borderId="36" xfId="0" applyNumberFormat="1" applyFont="1" applyFill="1" applyBorder="1" applyAlignment="1" applyProtection="1" quotePrefix="1">
      <alignment horizontal="center" vertical="center"/>
      <protection hidden="1"/>
    </xf>
    <xf numFmtId="0" fontId="10" fillId="33" borderId="35" xfId="0" applyFont="1" applyFill="1" applyBorder="1" applyAlignment="1" applyProtection="1" quotePrefix="1">
      <alignment horizontal="center" vertical="center"/>
      <protection hidden="1"/>
    </xf>
    <xf numFmtId="49" fontId="0" fillId="33" borderId="0" xfId="0" applyNumberFormat="1" applyFill="1" applyBorder="1" applyAlignment="1" applyProtection="1">
      <alignment horizontal="left" vertical="center"/>
      <protection hidden="1"/>
    </xf>
    <xf numFmtId="1" fontId="10" fillId="33" borderId="36" xfId="0" applyNumberFormat="1" applyFont="1" applyFill="1" applyBorder="1" applyAlignment="1" applyProtection="1" quotePrefix="1">
      <alignment horizontal="center" vertical="center"/>
      <protection hidden="1"/>
    </xf>
    <xf numFmtId="0" fontId="5" fillId="33" borderId="35" xfId="0" applyFont="1" applyFill="1" applyBorder="1" applyAlignment="1" applyProtection="1">
      <alignment vertical="center"/>
      <protection hidden="1"/>
    </xf>
    <xf numFmtId="0" fontId="10" fillId="33" borderId="37" xfId="0" applyFont="1" applyFill="1" applyBorder="1" applyAlignment="1" applyProtection="1">
      <alignment horizontal="centerContinuous" vertical="center"/>
      <protection hidden="1"/>
    </xf>
    <xf numFmtId="0" fontId="10" fillId="33" borderId="0" xfId="0" applyFont="1" applyFill="1" applyBorder="1" applyAlignment="1" applyProtection="1" quotePrefix="1">
      <alignment horizontal="center" vertical="center"/>
      <protection hidden="1"/>
    </xf>
    <xf numFmtId="0" fontId="12" fillId="33" borderId="0" xfId="0" applyFont="1" applyFill="1" applyBorder="1" applyAlignment="1" applyProtection="1">
      <alignment vertical="center"/>
      <protection hidden="1"/>
    </xf>
    <xf numFmtId="49" fontId="10" fillId="33" borderId="38" xfId="0" applyNumberFormat="1" applyFont="1" applyFill="1" applyBorder="1" applyAlignment="1" applyProtection="1">
      <alignment horizontal="center" vertical="center"/>
      <protection hidden="1"/>
    </xf>
    <xf numFmtId="49" fontId="10" fillId="33" borderId="39" xfId="0" applyNumberFormat="1" applyFont="1" applyFill="1" applyBorder="1" applyAlignment="1" applyProtection="1">
      <alignment horizontal="centerContinuous" vertical="center"/>
      <protection hidden="1"/>
    </xf>
    <xf numFmtId="1" fontId="10" fillId="34" borderId="40" xfId="0" applyNumberFormat="1" applyFont="1" applyFill="1" applyBorder="1" applyAlignment="1" applyProtection="1">
      <alignment horizontal="center" vertical="center"/>
      <protection hidden="1"/>
    </xf>
    <xf numFmtId="1" fontId="6" fillId="33" borderId="41" xfId="0" applyNumberFormat="1" applyFont="1" applyFill="1" applyBorder="1" applyAlignment="1" applyProtection="1">
      <alignment horizontal="centerContinuous" vertical="center"/>
      <protection hidden="1"/>
    </xf>
    <xf numFmtId="1" fontId="14" fillId="33" borderId="42" xfId="0" applyNumberFormat="1" applyFont="1" applyFill="1" applyBorder="1" applyAlignment="1" applyProtection="1">
      <alignment horizontal="center" vertical="center"/>
      <protection hidden="1"/>
    </xf>
    <xf numFmtId="0" fontId="0" fillId="33" borderId="41" xfId="0" applyFill="1" applyBorder="1" applyAlignment="1">
      <alignment/>
    </xf>
    <xf numFmtId="1" fontId="10" fillId="33" borderId="36" xfId="0" applyNumberFormat="1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10" fillId="33" borderId="35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 quotePrefix="1">
      <alignment vertical="center"/>
      <protection hidden="1"/>
    </xf>
    <xf numFmtId="0" fontId="23" fillId="33" borderId="0" xfId="0" applyFont="1" applyFill="1" applyBorder="1" applyAlignment="1" applyProtection="1" quotePrefix="1">
      <alignment horizontal="left"/>
      <protection hidden="1"/>
    </xf>
    <xf numFmtId="0" fontId="4" fillId="33" borderId="0" xfId="0" applyFont="1" applyFill="1" applyBorder="1" applyAlignment="1" applyProtection="1" quotePrefix="1">
      <alignment horizontal="left" vertical="center"/>
      <protection hidden="1"/>
    </xf>
    <xf numFmtId="0" fontId="10" fillId="33" borderId="36" xfId="0" applyFont="1" applyFill="1" applyBorder="1" applyAlignment="1" applyProtection="1">
      <alignment vertical="center"/>
      <protection hidden="1"/>
    </xf>
    <xf numFmtId="0" fontId="10" fillId="33" borderId="41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 quotePrefix="1">
      <alignment horizontal="left" vertical="center"/>
      <protection hidden="1"/>
    </xf>
    <xf numFmtId="0" fontId="23" fillId="33" borderId="0" xfId="0" applyFont="1" applyFill="1" applyBorder="1" applyAlignment="1" applyProtection="1">
      <alignment horizontal="left"/>
      <protection hidden="1"/>
    </xf>
    <xf numFmtId="0" fontId="8" fillId="33" borderId="0" xfId="0" applyFont="1" applyFill="1" applyBorder="1" applyAlignment="1" applyProtection="1">
      <alignment horizontal="left"/>
      <protection hidden="1"/>
    </xf>
    <xf numFmtId="49" fontId="10" fillId="33" borderId="36" xfId="0" applyNumberFormat="1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 quotePrefix="1">
      <alignment horizontal="left"/>
      <protection hidden="1"/>
    </xf>
    <xf numFmtId="0" fontId="11" fillId="33" borderId="0" xfId="0" applyFont="1" applyFill="1" applyBorder="1" applyAlignment="1" applyProtection="1">
      <alignment vertical="center"/>
      <protection hidden="1"/>
    </xf>
    <xf numFmtId="0" fontId="0" fillId="33" borderId="43" xfId="0" applyFill="1" applyBorder="1" applyAlignment="1">
      <alignment/>
    </xf>
    <xf numFmtId="1" fontId="10" fillId="33" borderId="43" xfId="0" applyNumberFormat="1" applyFont="1" applyFill="1" applyBorder="1" applyAlignment="1" applyProtection="1">
      <alignment vertical="center"/>
      <protection hidden="1"/>
    </xf>
    <xf numFmtId="0" fontId="10" fillId="33" borderId="44" xfId="0" applyFont="1" applyFill="1" applyBorder="1" applyAlignment="1" applyProtection="1" quotePrefix="1">
      <alignment horizontal="center" vertical="center"/>
      <protection hidden="1"/>
    </xf>
    <xf numFmtId="0" fontId="9" fillId="33" borderId="0" xfId="0" applyFont="1" applyFill="1" applyBorder="1" applyAlignment="1" applyProtection="1" quotePrefix="1">
      <alignment/>
      <protection hidden="1"/>
    </xf>
    <xf numFmtId="1" fontId="9" fillId="34" borderId="4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49" fontId="6" fillId="33" borderId="43" xfId="0" applyNumberFormat="1" applyFont="1" applyFill="1" applyBorder="1" applyAlignment="1" applyProtection="1" quotePrefix="1">
      <alignment horizontal="center" vertical="center"/>
      <protection hidden="1"/>
    </xf>
    <xf numFmtId="0" fontId="4" fillId="36" borderId="0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49" fontId="6" fillId="34" borderId="40" xfId="0" applyNumberFormat="1" applyFont="1" applyFill="1" applyBorder="1" applyAlignment="1" applyProtection="1">
      <alignment horizontal="center" vertical="center"/>
      <protection hidden="1"/>
    </xf>
    <xf numFmtId="0" fontId="4" fillId="33" borderId="35" xfId="0" applyFont="1" applyFill="1" applyBorder="1" applyAlignment="1" applyProtection="1">
      <alignment horizontal="right" vertical="center"/>
      <protection hidden="1"/>
    </xf>
    <xf numFmtId="49" fontId="0" fillId="33" borderId="36" xfId="0" applyNumberFormat="1" applyFill="1" applyBorder="1" applyAlignment="1" applyProtection="1">
      <alignment horizontal="left" vertical="center"/>
      <protection hidden="1"/>
    </xf>
    <xf numFmtId="0" fontId="5" fillId="33" borderId="35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49" fontId="9" fillId="33" borderId="0" xfId="0" applyNumberFormat="1" applyFont="1" applyFill="1" applyBorder="1" applyAlignment="1" applyProtection="1">
      <alignment vertical="center"/>
      <protection hidden="1"/>
    </xf>
    <xf numFmtId="0" fontId="0" fillId="33" borderId="35" xfId="0" applyFill="1" applyBorder="1" applyAlignment="1" applyProtection="1">
      <alignment horizontal="center" vertical="center"/>
      <protection hidden="1"/>
    </xf>
    <xf numFmtId="49" fontId="0" fillId="33" borderId="36" xfId="0" applyNumberForma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36" xfId="0" applyNumberFormat="1" applyFill="1" applyBorder="1" applyAlignment="1">
      <alignment/>
    </xf>
    <xf numFmtId="0" fontId="0" fillId="33" borderId="45" xfId="0" applyFill="1" applyBorder="1" applyAlignment="1" applyProtection="1">
      <alignment/>
      <protection hidden="1"/>
    </xf>
    <xf numFmtId="0" fontId="0" fillId="33" borderId="46" xfId="0" applyFill="1" applyBorder="1" applyAlignment="1" applyProtection="1">
      <alignment/>
      <protection hidden="1"/>
    </xf>
    <xf numFmtId="0" fontId="0" fillId="33" borderId="46" xfId="0" applyFill="1" applyBorder="1" applyAlignment="1" applyProtection="1">
      <alignment vertical="center"/>
      <protection hidden="1"/>
    </xf>
    <xf numFmtId="0" fontId="5" fillId="33" borderId="46" xfId="0" applyFont="1" applyFill="1" applyBorder="1" applyAlignment="1" applyProtection="1">
      <alignment vertical="center"/>
      <protection hidden="1"/>
    </xf>
    <xf numFmtId="49" fontId="5" fillId="33" borderId="46" xfId="0" applyNumberFormat="1" applyFont="1" applyFill="1" applyBorder="1" applyAlignment="1" applyProtection="1">
      <alignment vertical="center"/>
      <protection hidden="1"/>
    </xf>
    <xf numFmtId="49" fontId="5" fillId="33" borderId="46" xfId="0" applyNumberFormat="1" applyFont="1" applyFill="1" applyBorder="1" applyAlignment="1" applyProtection="1">
      <alignment horizontal="center" vertical="center"/>
      <protection hidden="1"/>
    </xf>
    <xf numFmtId="49" fontId="5" fillId="33" borderId="46" xfId="0" applyNumberFormat="1" applyFont="1" applyFill="1" applyBorder="1" applyAlignment="1" applyProtection="1">
      <alignment horizontal="left" vertical="center"/>
      <protection hidden="1"/>
    </xf>
    <xf numFmtId="49" fontId="5" fillId="33" borderId="47" xfId="0" applyNumberFormat="1" applyFont="1" applyFill="1" applyBorder="1" applyAlignment="1" applyProtection="1">
      <alignment/>
      <protection hidden="1"/>
    </xf>
    <xf numFmtId="0" fontId="12" fillId="33" borderId="17" xfId="0" applyFont="1" applyFill="1" applyBorder="1" applyAlignment="1" applyProtection="1">
      <alignment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horizontal="center" vertical="center"/>
      <protection hidden="1"/>
    </xf>
    <xf numFmtId="49" fontId="5" fillId="33" borderId="11" xfId="0" applyNumberFormat="1" applyFont="1" applyFill="1" applyBorder="1" applyAlignment="1" applyProtection="1">
      <alignment vertical="center"/>
      <protection hidden="1"/>
    </xf>
    <xf numFmtId="49" fontId="5" fillId="33" borderId="11" xfId="0" applyNumberFormat="1" applyFont="1" applyFill="1" applyBorder="1" applyAlignment="1" applyProtection="1">
      <alignment/>
      <protection hidden="1"/>
    </xf>
    <xf numFmtId="0" fontId="0" fillId="33" borderId="35" xfId="0" applyFill="1" applyBorder="1" applyAlignment="1" applyProtection="1">
      <alignment/>
      <protection hidden="1"/>
    </xf>
    <xf numFmtId="49" fontId="5" fillId="33" borderId="36" xfId="0" applyNumberFormat="1" applyFont="1" applyFill="1" applyBorder="1" applyAlignment="1" applyProtection="1">
      <alignment/>
      <protection hidden="1"/>
    </xf>
    <xf numFmtId="0" fontId="6" fillId="0" borderId="25" xfId="0" applyFont="1" applyBorder="1" applyAlignment="1" applyProtection="1">
      <alignment horizontal="left" vertical="center"/>
      <protection hidden="1"/>
    </xf>
    <xf numFmtId="1" fontId="9" fillId="34" borderId="43" xfId="0" applyNumberFormat="1" applyFont="1" applyFill="1" applyBorder="1" applyAlignment="1" applyProtection="1">
      <alignment horizontal="center" vertical="center"/>
      <protection hidden="1"/>
    </xf>
    <xf numFmtId="0" fontId="0" fillId="33" borderId="48" xfId="0" applyFill="1" applyBorder="1" applyAlignment="1" applyProtection="1">
      <alignment vertical="center"/>
      <protection hidden="1"/>
    </xf>
    <xf numFmtId="0" fontId="0" fillId="33" borderId="32" xfId="0" applyFill="1" applyBorder="1" applyAlignment="1" applyProtection="1">
      <alignment vertical="center"/>
      <protection hidden="1"/>
    </xf>
    <xf numFmtId="0" fontId="4" fillId="33" borderId="32" xfId="0" applyFont="1" applyFill="1" applyBorder="1" applyAlignment="1" applyProtection="1">
      <alignment/>
      <protection hidden="1"/>
    </xf>
    <xf numFmtId="0" fontId="0" fillId="33" borderId="32" xfId="0" applyFill="1" applyBorder="1" applyAlignment="1" applyProtection="1">
      <alignment/>
      <protection hidden="1"/>
    </xf>
    <xf numFmtId="0" fontId="0" fillId="33" borderId="32" xfId="0" applyFill="1" applyBorder="1" applyAlignment="1" applyProtection="1">
      <alignment horizontal="right"/>
      <protection hidden="1"/>
    </xf>
    <xf numFmtId="0" fontId="0" fillId="33" borderId="32" xfId="0" applyFill="1" applyBorder="1" applyAlignment="1">
      <alignment/>
    </xf>
    <xf numFmtId="0" fontId="0" fillId="33" borderId="32" xfId="0" applyFill="1" applyBorder="1" applyAlignment="1" applyProtection="1">
      <alignment horizontal="right" vertical="center"/>
      <protection hidden="1"/>
    </xf>
    <xf numFmtId="0" fontId="0" fillId="33" borderId="38" xfId="0" applyFill="1" applyBorder="1" applyAlignment="1" applyProtection="1">
      <alignment/>
      <protection hidden="1"/>
    </xf>
    <xf numFmtId="0" fontId="6" fillId="0" borderId="10" xfId="0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5" fillId="0" borderId="10" xfId="0" applyFont="1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horizontal="right" vertical="center"/>
      <protection hidden="1"/>
    </xf>
    <xf numFmtId="0" fontId="0" fillId="33" borderId="36" xfId="0" applyFill="1" applyBorder="1" applyAlignment="1" applyProtection="1">
      <alignment/>
      <protection hidden="1"/>
    </xf>
    <xf numFmtId="0" fontId="7" fillId="0" borderId="49" xfId="0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Border="1" applyAlignment="1" applyProtection="1">
      <alignment horizontal="right" vertical="center"/>
      <protection hidden="1"/>
    </xf>
    <xf numFmtId="0" fontId="28" fillId="0" borderId="10" xfId="0" applyFont="1" applyFill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7" fillId="0" borderId="50" xfId="0" applyFont="1" applyFill="1" applyBorder="1" applyAlignment="1" applyProtection="1">
      <alignment horizontal="left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28" fillId="0" borderId="10" xfId="0" applyFont="1" applyBorder="1" applyAlignment="1" applyProtection="1">
      <alignment vertical="center"/>
      <protection hidden="1"/>
    </xf>
    <xf numFmtId="0" fontId="7" fillId="0" borderId="50" xfId="0" applyFont="1" applyBorder="1" applyAlignment="1" applyProtection="1">
      <alignment horizontal="left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29" xfId="0" applyFont="1" applyFill="1" applyBorder="1" applyAlignment="1" applyProtection="1">
      <alignment horizontal="right" vertical="center"/>
      <protection hidden="1"/>
    </xf>
    <xf numFmtId="0" fontId="8" fillId="33" borderId="0" xfId="0" applyFont="1" applyFill="1" applyBorder="1" applyAlignment="1" applyProtection="1" quotePrefix="1">
      <alignment horizontal="center" vertical="center"/>
      <protection hidden="1"/>
    </xf>
    <xf numFmtId="0" fontId="8" fillId="0" borderId="16" xfId="0" applyFont="1" applyFill="1" applyBorder="1" applyAlignment="1" applyProtection="1" quotePrefix="1">
      <alignment horizontal="center" vertical="center"/>
      <protection hidden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50" xfId="0" applyFont="1" applyBorder="1" applyAlignment="1" applyProtection="1">
      <alignment horizontal="center" vertical="center"/>
      <protection hidden="1"/>
    </xf>
    <xf numFmtId="0" fontId="8" fillId="0" borderId="23" xfId="0" applyFont="1" applyFill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 quotePrefix="1">
      <alignment horizontal="center" vertical="center"/>
      <protection hidden="1"/>
    </xf>
    <xf numFmtId="0" fontId="8" fillId="0" borderId="29" xfId="0" applyFont="1" applyFill="1" applyBorder="1" applyAlignment="1" applyProtection="1" quotePrefix="1">
      <alignment horizontal="center" vertical="center"/>
      <protection hidden="1"/>
    </xf>
    <xf numFmtId="0" fontId="23" fillId="33" borderId="0" xfId="0" applyFont="1" applyFill="1" applyBorder="1" applyAlignment="1" applyProtection="1">
      <alignment/>
      <protection hidden="1"/>
    </xf>
    <xf numFmtId="0" fontId="5" fillId="33" borderId="50" xfId="0" applyFont="1" applyFill="1" applyBorder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29" fillId="33" borderId="10" xfId="0" applyFont="1" applyFill="1" applyBorder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centerContinuous" vertical="center"/>
      <protection hidden="1"/>
    </xf>
    <xf numFmtId="0" fontId="6" fillId="33" borderId="13" xfId="0" applyFont="1" applyFill="1" applyBorder="1" applyAlignment="1" applyProtection="1">
      <alignment horizontal="centerContinuous" vertical="center"/>
      <protection hidden="1"/>
    </xf>
    <xf numFmtId="0" fontId="0" fillId="33" borderId="16" xfId="0" applyFill="1" applyBorder="1" applyAlignment="1" applyProtection="1">
      <alignment horizontal="left" vertical="center"/>
      <protection hidden="1"/>
    </xf>
    <xf numFmtId="0" fontId="0" fillId="33" borderId="51" xfId="0" applyFill="1" applyBorder="1" applyAlignment="1" applyProtection="1">
      <alignment horizontal="left" vertical="center"/>
      <protection hidden="1"/>
    </xf>
    <xf numFmtId="1" fontId="10" fillId="0" borderId="10" xfId="0" applyNumberFormat="1" applyFont="1" applyFill="1" applyBorder="1" applyAlignment="1" applyProtection="1">
      <alignment horizontal="center" vertical="center"/>
      <protection hidden="1"/>
    </xf>
    <xf numFmtId="1" fontId="10" fillId="33" borderId="27" xfId="0" applyNumberFormat="1" applyFont="1" applyFill="1" applyBorder="1" applyAlignment="1" applyProtection="1">
      <alignment horizontal="center" vertical="center"/>
      <protection hidden="1"/>
    </xf>
    <xf numFmtId="1" fontId="10" fillId="33" borderId="24" xfId="0" applyNumberFormat="1" applyFont="1" applyFill="1" applyBorder="1" applyAlignment="1" applyProtection="1">
      <alignment horizontal="center" vertical="center"/>
      <protection hidden="1"/>
    </xf>
    <xf numFmtId="1" fontId="6" fillId="33" borderId="11" xfId="0" applyNumberFormat="1" applyFont="1" applyFill="1" applyBorder="1" applyAlignment="1" applyProtection="1">
      <alignment vertical="center"/>
      <protection hidden="1"/>
    </xf>
    <xf numFmtId="1" fontId="10" fillId="33" borderId="0" xfId="0" applyNumberFormat="1" applyFont="1" applyFill="1" applyBorder="1" applyAlignment="1" applyProtection="1">
      <alignment horizontal="center" vertical="center"/>
      <protection hidden="1"/>
    </xf>
    <xf numFmtId="1" fontId="6" fillId="33" borderId="28" xfId="0" applyNumberFormat="1" applyFont="1" applyFill="1" applyBorder="1" applyAlignment="1" applyProtection="1">
      <alignment vertical="center"/>
      <protection hidden="1"/>
    </xf>
    <xf numFmtId="1" fontId="10" fillId="33" borderId="52" xfId="0" applyNumberFormat="1" applyFont="1" applyFill="1" applyBorder="1" applyAlignment="1" applyProtection="1">
      <alignment horizontal="center" vertical="center"/>
      <protection hidden="1"/>
    </xf>
    <xf numFmtId="1" fontId="10" fillId="33" borderId="33" xfId="0" applyNumberFormat="1" applyFont="1" applyFill="1" applyBorder="1" applyAlignment="1" applyProtection="1">
      <alignment horizontal="center" vertical="center"/>
      <protection hidden="1"/>
    </xf>
    <xf numFmtId="1" fontId="6" fillId="33" borderId="33" xfId="0" applyNumberFormat="1" applyFont="1" applyFill="1" applyBorder="1" applyAlignment="1" applyProtection="1">
      <alignment vertical="center"/>
      <protection hidden="1"/>
    </xf>
    <xf numFmtId="1" fontId="6" fillId="33" borderId="53" xfId="0" applyNumberFormat="1" applyFont="1" applyFill="1" applyBorder="1" applyAlignment="1" applyProtection="1">
      <alignment vertical="center"/>
      <protection hidden="1"/>
    </xf>
    <xf numFmtId="1" fontId="10" fillId="33" borderId="32" xfId="0" applyNumberFormat="1" applyFont="1" applyFill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 quotePrefix="1">
      <alignment horizontal="center" vertical="center"/>
      <protection hidden="1"/>
    </xf>
    <xf numFmtId="0" fontId="10" fillId="0" borderId="16" xfId="0" applyFont="1" applyBorder="1" applyAlignment="1" applyProtection="1" quotePrefix="1">
      <alignment horizontal="center" vertical="center"/>
      <protection hidden="1"/>
    </xf>
    <xf numFmtId="1" fontId="6" fillId="33" borderId="24" xfId="0" applyNumberFormat="1" applyFont="1" applyFill="1" applyBorder="1" applyAlignment="1" applyProtection="1">
      <alignment horizontal="centerContinuous" vertical="center"/>
      <protection hidden="1"/>
    </xf>
    <xf numFmtId="0" fontId="10" fillId="33" borderId="28" xfId="0" applyFont="1" applyFill="1" applyBorder="1" applyAlignment="1" applyProtection="1">
      <alignment horizontal="centerContinuous" vertical="center"/>
      <protection hidden="1"/>
    </xf>
    <xf numFmtId="0" fontId="5" fillId="33" borderId="10" xfId="0" applyFont="1" applyFill="1" applyBorder="1" applyAlignment="1" applyProtection="1">
      <alignment vertical="center"/>
      <protection hidden="1"/>
    </xf>
    <xf numFmtId="0" fontId="5" fillId="33" borderId="49" xfId="0" applyFont="1" applyFill="1" applyBorder="1" applyAlignment="1" applyProtection="1">
      <alignment vertical="center"/>
      <protection hidden="1"/>
    </xf>
    <xf numFmtId="1" fontId="14" fillId="33" borderId="54" xfId="0" applyNumberFormat="1" applyFont="1" applyFill="1" applyBorder="1" applyAlignment="1" applyProtection="1">
      <alignment horizontal="center" vertical="center"/>
      <protection hidden="1"/>
    </xf>
    <xf numFmtId="0" fontId="14" fillId="0" borderId="27" xfId="0" applyFont="1" applyBorder="1" applyAlignment="1" applyProtection="1">
      <alignment horizontal="centerContinuous" vertical="center"/>
      <protection hidden="1"/>
    </xf>
    <xf numFmtId="0" fontId="0" fillId="0" borderId="10" xfId="0" applyBorder="1" applyAlignment="1" applyProtection="1">
      <alignment horizontal="centerContinuous" vertical="center"/>
      <protection hidden="1"/>
    </xf>
    <xf numFmtId="0" fontId="14" fillId="0" borderId="10" xfId="0" applyFont="1" applyBorder="1" applyAlignment="1" applyProtection="1">
      <alignment horizontal="centerContinuous" vertical="center"/>
      <protection hidden="1"/>
    </xf>
    <xf numFmtId="0" fontId="14" fillId="0" borderId="25" xfId="0" applyFont="1" applyBorder="1" applyAlignment="1" applyProtection="1">
      <alignment horizontal="centerContinuous" vertical="center"/>
      <protection hidden="1"/>
    </xf>
    <xf numFmtId="0" fontId="4" fillId="33" borderId="0" xfId="0" applyFont="1" applyFill="1" applyBorder="1" applyAlignment="1" applyProtection="1">
      <alignment/>
      <protection hidden="1"/>
    </xf>
    <xf numFmtId="1" fontId="14" fillId="33" borderId="25" xfId="0" applyNumberFormat="1" applyFont="1" applyFill="1" applyBorder="1" applyAlignment="1" applyProtection="1">
      <alignment horizontal="center" vertical="center"/>
      <protection hidden="1"/>
    </xf>
    <xf numFmtId="0" fontId="10" fillId="33" borderId="36" xfId="0" applyFont="1" applyFill="1" applyBorder="1" applyAlignment="1" applyProtection="1">
      <alignment/>
      <protection hidden="1"/>
    </xf>
    <xf numFmtId="0" fontId="10" fillId="0" borderId="27" xfId="0" applyFont="1" applyBorder="1" applyAlignment="1" applyProtection="1">
      <alignment horizontal="centerContinuous" vertical="center"/>
      <protection hidden="1"/>
    </xf>
    <xf numFmtId="0" fontId="10" fillId="0" borderId="10" xfId="0" applyFont="1" applyBorder="1" applyAlignment="1" applyProtection="1">
      <alignment horizontal="centerContinuous" vertical="center"/>
      <protection hidden="1"/>
    </xf>
    <xf numFmtId="0" fontId="10" fillId="0" borderId="25" xfId="0" applyFont="1" applyBorder="1" applyAlignment="1" applyProtection="1">
      <alignment horizontal="centerContinuous" vertical="center"/>
      <protection hidden="1"/>
    </xf>
    <xf numFmtId="1" fontId="10" fillId="33" borderId="54" xfId="0" applyNumberFormat="1" applyFont="1" applyFill="1" applyBorder="1" applyAlignment="1" applyProtection="1">
      <alignment horizontal="center" vertical="center"/>
      <protection hidden="1"/>
    </xf>
    <xf numFmtId="0" fontId="23" fillId="33" borderId="0" xfId="0" applyFont="1" applyFill="1" applyBorder="1" applyAlignment="1" applyProtection="1" quotePrefix="1">
      <alignment horizontal="left"/>
      <protection hidden="1"/>
    </xf>
    <xf numFmtId="0" fontId="10" fillId="33" borderId="54" xfId="0" applyFont="1" applyFill="1" applyBorder="1" applyAlignment="1" applyProtection="1">
      <alignment vertical="center"/>
      <protection hidden="1"/>
    </xf>
    <xf numFmtId="0" fontId="10" fillId="33" borderId="28" xfId="0" applyFont="1" applyFill="1" applyBorder="1" applyAlignment="1">
      <alignment/>
    </xf>
    <xf numFmtId="0" fontId="23" fillId="33" borderId="0" xfId="0" applyFont="1" applyFill="1" applyBorder="1" applyAlignment="1" applyProtection="1">
      <alignment horizontal="left"/>
      <protection hidden="1"/>
    </xf>
    <xf numFmtId="0" fontId="10" fillId="0" borderId="27" xfId="0" applyFont="1" applyBorder="1" applyAlignment="1" applyProtection="1">
      <alignment horizontal="centerContinuous"/>
      <protection hidden="1"/>
    </xf>
    <xf numFmtId="0" fontId="10" fillId="0" borderId="10" xfId="0" applyFont="1" applyBorder="1" applyAlignment="1" applyProtection="1">
      <alignment horizontal="centerContinuous"/>
      <protection hidden="1"/>
    </xf>
    <xf numFmtId="0" fontId="10" fillId="0" borderId="25" xfId="0" applyFont="1" applyBorder="1" applyAlignment="1" applyProtection="1">
      <alignment horizontal="centerContinuous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3" fillId="33" borderId="0" xfId="0" applyFont="1" applyFill="1" applyBorder="1" applyAlignment="1" applyProtection="1" quotePrefix="1">
      <alignment horizontal="center" vertical="center"/>
      <protection hidden="1"/>
    </xf>
    <xf numFmtId="0" fontId="5" fillId="33" borderId="0" xfId="0" applyFont="1" applyFill="1" applyBorder="1" applyAlignment="1" applyProtection="1" quotePrefix="1">
      <alignment horizontal="left" vertical="center"/>
      <protection hidden="1"/>
    </xf>
    <xf numFmtId="0" fontId="5" fillId="33" borderId="11" xfId="0" applyFont="1" applyFill="1" applyBorder="1" applyAlignment="1" applyProtection="1">
      <alignment/>
      <protection hidden="1"/>
    </xf>
    <xf numFmtId="0" fontId="5" fillId="33" borderId="49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 horizontal="centerContinuous"/>
      <protection hidden="1"/>
    </xf>
    <xf numFmtId="0" fontId="10" fillId="33" borderId="54" xfId="0" applyFont="1" applyFill="1" applyBorder="1" applyAlignment="1" applyProtection="1">
      <alignment horizontal="centerContinuous"/>
      <protection hidden="1"/>
    </xf>
    <xf numFmtId="0" fontId="8" fillId="33" borderId="49" xfId="0" applyFont="1" applyFill="1" applyBorder="1" applyAlignment="1" applyProtection="1" quotePrefix="1">
      <alignment horizontal="left"/>
      <protection hidden="1"/>
    </xf>
    <xf numFmtId="0" fontId="3" fillId="33" borderId="12" xfId="0" applyFont="1" applyFill="1" applyBorder="1" applyAlignment="1" applyProtection="1">
      <alignment/>
      <protection hidden="1"/>
    </xf>
    <xf numFmtId="0" fontId="29" fillId="33" borderId="12" xfId="0" applyFont="1" applyFill="1" applyBorder="1" applyAlignment="1" applyProtection="1">
      <alignment horizontal="center"/>
      <protection hidden="1"/>
    </xf>
    <xf numFmtId="0" fontId="3" fillId="33" borderId="13" xfId="0" applyFont="1" applyFill="1" applyBorder="1" applyAlignment="1" applyProtection="1">
      <alignment/>
      <protection hidden="1"/>
    </xf>
    <xf numFmtId="0" fontId="10" fillId="33" borderId="10" xfId="0" applyFont="1" applyFill="1" applyBorder="1" applyAlignment="1" applyProtection="1">
      <alignment horizontal="left" vertical="center"/>
      <protection hidden="1"/>
    </xf>
    <xf numFmtId="0" fontId="10" fillId="33" borderId="10" xfId="0" applyFont="1" applyFill="1" applyBorder="1" applyAlignment="1" applyProtection="1" quotePrefix="1">
      <alignment horizontal="left" vertical="center"/>
      <protection hidden="1"/>
    </xf>
    <xf numFmtId="0" fontId="10" fillId="33" borderId="11" xfId="0" applyFont="1" applyFill="1" applyBorder="1" applyAlignment="1" applyProtection="1">
      <alignment vertical="center"/>
      <protection hidden="1"/>
    </xf>
    <xf numFmtId="0" fontId="10" fillId="33" borderId="11" xfId="0" applyFont="1" applyFill="1" applyBorder="1" applyAlignment="1" applyProtection="1" quotePrefix="1">
      <alignment horizontal="center" vertical="center"/>
      <protection hidden="1"/>
    </xf>
    <xf numFmtId="0" fontId="10" fillId="33" borderId="11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/>
      <protection hidden="1"/>
    </xf>
    <xf numFmtId="0" fontId="23" fillId="33" borderId="10" xfId="0" applyFont="1" applyFill="1" applyBorder="1" applyAlignment="1" applyProtection="1">
      <alignment/>
      <protection hidden="1"/>
    </xf>
    <xf numFmtId="0" fontId="5" fillId="33" borderId="27" xfId="0" applyFont="1" applyFill="1" applyBorder="1" applyAlignment="1" applyProtection="1">
      <alignment vertical="center"/>
      <protection hidden="1"/>
    </xf>
    <xf numFmtId="0" fontId="30" fillId="33" borderId="10" xfId="0" applyFont="1" applyFill="1" applyBorder="1" applyAlignment="1">
      <alignment/>
    </xf>
    <xf numFmtId="0" fontId="16" fillId="33" borderId="10" xfId="0" applyFont="1" applyFill="1" applyBorder="1" applyAlignment="1" applyProtection="1">
      <alignment horizontal="center" vertical="center"/>
      <protection hidden="1"/>
    </xf>
    <xf numFmtId="0" fontId="16" fillId="33" borderId="10" xfId="0" applyFont="1" applyFill="1" applyBorder="1" applyAlignment="1" applyProtection="1">
      <alignment vertical="center"/>
      <protection hidden="1"/>
    </xf>
    <xf numFmtId="0" fontId="16" fillId="33" borderId="25" xfId="0" applyFont="1" applyFill="1" applyBorder="1" applyAlignment="1" applyProtection="1">
      <alignment horizontal="centerContinuous" vertical="center"/>
      <protection hidden="1"/>
    </xf>
    <xf numFmtId="0" fontId="0" fillId="33" borderId="35" xfId="0" applyFill="1" applyBorder="1" applyAlignment="1">
      <alignment/>
    </xf>
    <xf numFmtId="0" fontId="17" fillId="33" borderId="21" xfId="35" applyFont="1" applyFill="1" applyBorder="1" applyAlignment="1" applyProtection="1">
      <alignment horizontal="center" vertical="center"/>
      <protection hidden="1"/>
    </xf>
    <xf numFmtId="0" fontId="10" fillId="33" borderId="26" xfId="0" applyFont="1" applyFill="1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0" fillId="33" borderId="49" xfId="0" applyFont="1" applyFill="1" applyBorder="1" applyAlignment="1" applyProtection="1" quotePrefix="1">
      <alignment horizontal="left" vertical="center"/>
      <protection hidden="1"/>
    </xf>
    <xf numFmtId="0" fontId="3" fillId="0" borderId="10" xfId="35" applyFont="1" applyFill="1" applyBorder="1" applyAlignment="1" applyProtection="1" quotePrefix="1">
      <alignment horizontal="center" vertical="center"/>
      <protection hidden="1"/>
    </xf>
    <xf numFmtId="0" fontId="10" fillId="0" borderId="27" xfId="0" applyFont="1" applyFill="1" applyBorder="1" applyAlignment="1" applyProtection="1">
      <alignment horizontal="left"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25" xfId="0" applyFont="1" applyBorder="1" applyAlignment="1" applyProtection="1">
      <alignment vertical="center"/>
      <protection hidden="1"/>
    </xf>
    <xf numFmtId="0" fontId="0" fillId="33" borderId="49" xfId="0" applyFill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33" borderId="26" xfId="0" applyFont="1" applyFill="1" applyBorder="1" applyAlignment="1" applyProtection="1">
      <alignment vertical="center"/>
      <protection hidden="1"/>
    </xf>
    <xf numFmtId="0" fontId="33" fillId="33" borderId="49" xfId="0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10" fillId="33" borderId="49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1" fontId="10" fillId="33" borderId="54" xfId="0" applyNumberFormat="1" applyFont="1" applyFill="1" applyBorder="1" applyAlignment="1" applyProtection="1">
      <alignment horizontal="center" vertical="center"/>
      <protection hidden="1"/>
    </xf>
    <xf numFmtId="0" fontId="33" fillId="33" borderId="55" xfId="0" applyFont="1" applyFill="1" applyBorder="1" applyAlignment="1" applyProtection="1">
      <alignment vertical="center"/>
      <protection hidden="1"/>
    </xf>
    <xf numFmtId="1" fontId="33" fillId="33" borderId="33" xfId="0" applyNumberFormat="1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8" fillId="38" borderId="12" xfId="0" applyFont="1" applyFill="1" applyBorder="1" applyAlignment="1" applyProtection="1">
      <alignment horizontal="centerContinuous" vertical="center"/>
      <protection hidden="1"/>
    </xf>
    <xf numFmtId="0" fontId="5" fillId="38" borderId="12" xfId="0" applyFont="1" applyFill="1" applyBorder="1" applyAlignment="1" applyProtection="1">
      <alignment horizontal="centerContinuous" vertical="center"/>
      <protection hidden="1"/>
    </xf>
    <xf numFmtId="0" fontId="5" fillId="38" borderId="0" xfId="0" applyFont="1" applyFill="1" applyBorder="1" applyAlignment="1" applyProtection="1">
      <alignment horizontal="centerContinuous" vertical="center"/>
      <protection hidden="1"/>
    </xf>
    <xf numFmtId="0" fontId="6" fillId="34" borderId="16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 quotePrefix="1">
      <alignment horizontal="center" vertical="center"/>
      <protection hidden="1"/>
    </xf>
    <xf numFmtId="0" fontId="6" fillId="33" borderId="10" xfId="0" applyFont="1" applyFill="1" applyBorder="1" applyAlignment="1" applyProtection="1" quotePrefix="1">
      <alignment horizontal="center" vertical="center"/>
      <protection hidden="1"/>
    </xf>
    <xf numFmtId="0" fontId="6" fillId="33" borderId="15" xfId="0" applyFont="1" applyFill="1" applyBorder="1" applyAlignment="1" applyProtection="1" quotePrefix="1">
      <alignment horizontal="center" vertical="center"/>
      <protection hidden="1"/>
    </xf>
    <xf numFmtId="0" fontId="11" fillId="33" borderId="1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2" fillId="0" borderId="11" xfId="0" applyFont="1" applyFill="1" applyBorder="1" applyAlignment="1" applyProtection="1">
      <alignment horizontal="right" vertical="center"/>
      <protection hidden="1"/>
    </xf>
    <xf numFmtId="0" fontId="12" fillId="0" borderId="15" xfId="0" applyFont="1" applyFill="1" applyBorder="1" applyAlignment="1" applyProtection="1">
      <alignment horizontal="right" vertical="center"/>
      <protection hidden="1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5" fillId="33" borderId="35" xfId="0" applyFont="1" applyFill="1" applyBorder="1" applyAlignment="1" applyProtection="1">
      <alignment/>
      <protection hidden="1"/>
    </xf>
    <xf numFmtId="0" fontId="5" fillId="33" borderId="45" xfId="0" applyFont="1" applyFill="1" applyBorder="1" applyAlignment="1" applyProtection="1">
      <alignment/>
      <protection hidden="1"/>
    </xf>
    <xf numFmtId="0" fontId="5" fillId="33" borderId="46" xfId="0" applyFont="1" applyFill="1" applyBorder="1" applyAlignment="1" applyProtection="1">
      <alignment/>
      <protection hidden="1"/>
    </xf>
    <xf numFmtId="0" fontId="0" fillId="33" borderId="47" xfId="0" applyFill="1" applyBorder="1" applyAlignment="1" applyProtection="1">
      <alignment/>
      <protection hidden="1"/>
    </xf>
    <xf numFmtId="0" fontId="0" fillId="33" borderId="0" xfId="0" applyFill="1" applyAlignment="1" applyProtection="1">
      <alignment vertical="center"/>
      <protection hidden="1"/>
    </xf>
    <xf numFmtId="0" fontId="23" fillId="33" borderId="0" xfId="0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0" fillId="33" borderId="0" xfId="0" applyFill="1" applyAlignment="1">
      <alignment/>
    </xf>
    <xf numFmtId="49" fontId="0" fillId="33" borderId="54" xfId="0" applyNumberFormat="1" applyFill="1" applyBorder="1" applyAlignment="1">
      <alignment/>
    </xf>
    <xf numFmtId="49" fontId="8" fillId="33" borderId="54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Alignment="1" applyProtection="1" quotePrefix="1">
      <alignment horizontal="center" vertical="center"/>
      <protection hidden="1"/>
    </xf>
    <xf numFmtId="0" fontId="23" fillId="33" borderId="12" xfId="0" applyFont="1" applyFill="1" applyBorder="1" applyAlignment="1" applyProtection="1">
      <alignment/>
      <protection hidden="1"/>
    </xf>
    <xf numFmtId="1" fontId="10" fillId="34" borderId="25" xfId="0" applyNumberFormat="1" applyFont="1" applyFill="1" applyBorder="1" applyAlignment="1" applyProtection="1">
      <alignment horizontal="center" vertical="center"/>
      <protection hidden="1"/>
    </xf>
    <xf numFmtId="1" fontId="10" fillId="0" borderId="56" xfId="0" applyNumberFormat="1" applyFont="1" applyFill="1" applyBorder="1" applyAlignment="1" applyProtection="1">
      <alignment horizontal="center" vertical="center"/>
      <protection hidden="1"/>
    </xf>
    <xf numFmtId="1" fontId="10" fillId="0" borderId="57" xfId="0" applyNumberFormat="1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Alignment="1" applyProtection="1">
      <alignment vertical="center"/>
      <protection hidden="1"/>
    </xf>
    <xf numFmtId="49" fontId="10" fillId="33" borderId="34" xfId="0" applyNumberFormat="1" applyFont="1" applyFill="1" applyBorder="1" applyAlignment="1" applyProtection="1">
      <alignment horizontal="center" vertical="center"/>
      <protection hidden="1"/>
    </xf>
    <xf numFmtId="0" fontId="23" fillId="33" borderId="12" xfId="0" applyFont="1" applyFill="1" applyBorder="1" applyAlignment="1" applyProtection="1">
      <alignment vertical="center"/>
      <protection hidden="1"/>
    </xf>
    <xf numFmtId="1" fontId="10" fillId="0" borderId="51" xfId="0" applyNumberFormat="1" applyFont="1" applyBorder="1" applyAlignment="1" applyProtection="1">
      <alignment horizontal="center" vertical="center"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23" fillId="33" borderId="0" xfId="0" applyFont="1" applyFill="1" applyAlignment="1" applyProtection="1" quotePrefix="1">
      <alignment horizontal="left"/>
      <protection hidden="1"/>
    </xf>
    <xf numFmtId="0" fontId="4" fillId="33" borderId="0" xfId="0" applyFont="1" applyFill="1" applyAlignment="1" applyProtection="1" quotePrefix="1">
      <alignment horizontal="left" vertical="center"/>
      <protection hidden="1"/>
    </xf>
    <xf numFmtId="0" fontId="10" fillId="33" borderId="0" xfId="0" applyFont="1" applyFill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horizontal="center" vertical="center"/>
      <protection hidden="1"/>
    </xf>
    <xf numFmtId="0" fontId="8" fillId="33" borderId="0" xfId="0" applyFont="1" applyFill="1" applyAlignment="1" applyProtection="1" quotePrefix="1">
      <alignment horizontal="left" vertical="center"/>
      <protection hidden="1"/>
    </xf>
    <xf numFmtId="0" fontId="23" fillId="33" borderId="0" xfId="0" applyFont="1" applyFill="1" applyAlignment="1" applyProtection="1">
      <alignment horizontal="left"/>
      <protection hidden="1"/>
    </xf>
    <xf numFmtId="0" fontId="8" fillId="33" borderId="0" xfId="0" applyFont="1" applyFill="1" applyAlignment="1" applyProtection="1">
      <alignment horizontal="left"/>
      <protection hidden="1"/>
    </xf>
    <xf numFmtId="49" fontId="10" fillId="33" borderId="54" xfId="0" applyNumberFormat="1" applyFont="1" applyFill="1" applyBorder="1" applyAlignment="1" applyProtection="1">
      <alignment vertical="center"/>
      <protection hidden="1"/>
    </xf>
    <xf numFmtId="0" fontId="11" fillId="33" borderId="0" xfId="0" applyFont="1" applyFill="1" applyBorder="1" applyAlignment="1" applyProtection="1">
      <alignment horizontal="left" vertical="center"/>
      <protection hidden="1"/>
    </xf>
    <xf numFmtId="0" fontId="10" fillId="33" borderId="0" xfId="0" applyFont="1" applyFill="1" applyBorder="1" applyAlignment="1" applyProtection="1">
      <alignment horizontal="left" vertical="center"/>
      <protection hidden="1"/>
    </xf>
    <xf numFmtId="0" fontId="10" fillId="33" borderId="0" xfId="0" applyFont="1" applyFill="1" applyBorder="1" applyAlignment="1" applyProtection="1" quotePrefix="1">
      <alignment horizontal="left" vertical="center"/>
      <protection hidden="1"/>
    </xf>
    <xf numFmtId="0" fontId="5" fillId="33" borderId="0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9" fillId="33" borderId="0" xfId="0" applyFont="1" applyFill="1" applyAlignment="1" applyProtection="1" quotePrefix="1">
      <alignment vertical="center"/>
      <protection hidden="1"/>
    </xf>
    <xf numFmtId="0" fontId="4" fillId="36" borderId="0" xfId="0" applyFont="1" applyFill="1" applyAlignment="1" applyProtection="1">
      <alignment vertical="center"/>
      <protection hidden="1"/>
    </xf>
    <xf numFmtId="0" fontId="9" fillId="33" borderId="0" xfId="0" applyFont="1" applyFill="1" applyAlignment="1" applyProtection="1">
      <alignment vertical="center"/>
      <protection hidden="1"/>
    </xf>
    <xf numFmtId="49" fontId="0" fillId="33" borderId="0" xfId="0" applyNumberForma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Border="1" applyAlignment="1">
      <alignment/>
    </xf>
    <xf numFmtId="49" fontId="5" fillId="39" borderId="58" xfId="0" applyNumberFormat="1" applyFont="1" applyFill="1" applyBorder="1" applyAlignment="1" applyProtection="1">
      <alignment horizontal="left" vertical="center"/>
      <protection hidden="1"/>
    </xf>
    <xf numFmtId="49" fontId="23" fillId="39" borderId="59" xfId="0" applyNumberFormat="1" applyFont="1" applyFill="1" applyBorder="1" applyAlignment="1" applyProtection="1">
      <alignment horizontal="center" vertical="center"/>
      <protection hidden="1"/>
    </xf>
    <xf numFmtId="49" fontId="23" fillId="39" borderId="59" xfId="0" applyNumberFormat="1" applyFont="1" applyFill="1" applyBorder="1" applyAlignment="1" applyProtection="1">
      <alignment horizontal="left" vertical="center" wrapText="1"/>
      <protection hidden="1"/>
    </xf>
    <xf numFmtId="49" fontId="5" fillId="39" borderId="59" xfId="0" applyNumberFormat="1" applyFont="1" applyFill="1" applyBorder="1" applyAlignment="1" applyProtection="1">
      <alignment horizontal="left" vertical="center"/>
      <protection hidden="1"/>
    </xf>
    <xf numFmtId="0" fontId="119" fillId="0" borderId="60" xfId="0" applyFont="1" applyBorder="1" applyAlignment="1">
      <alignment horizontal="center"/>
    </xf>
    <xf numFmtId="0" fontId="119" fillId="0" borderId="61" xfId="0" applyFont="1" applyBorder="1" applyAlignment="1">
      <alignment horizontal="center"/>
    </xf>
    <xf numFmtId="49" fontId="5" fillId="39" borderId="0" xfId="0" applyNumberFormat="1" applyFont="1" applyFill="1" applyBorder="1" applyAlignment="1" applyProtection="1">
      <alignment horizontal="left" vertical="center"/>
      <protection hidden="1"/>
    </xf>
    <xf numFmtId="49" fontId="5" fillId="39" borderId="46" xfId="0" applyNumberFormat="1" applyFont="1" applyFill="1" applyBorder="1" applyAlignment="1" applyProtection="1">
      <alignment horizontal="left" vertical="center"/>
      <protection hidden="1"/>
    </xf>
    <xf numFmtId="49" fontId="5" fillId="39" borderId="35" xfId="0" applyNumberFormat="1" applyFont="1" applyFill="1" applyBorder="1" applyAlignment="1" applyProtection="1">
      <alignment horizontal="left" vertical="center"/>
      <protection hidden="1"/>
    </xf>
    <xf numFmtId="49" fontId="85" fillId="39" borderId="0" xfId="0" applyNumberFormat="1" applyFont="1" applyFill="1" applyBorder="1" applyAlignment="1" applyProtection="1">
      <alignment horizontal="left" vertical="center"/>
      <protection hidden="1"/>
    </xf>
    <xf numFmtId="49" fontId="5" fillId="39" borderId="62" xfId="0" applyNumberFormat="1" applyFont="1" applyFill="1" applyBorder="1" applyAlignment="1" applyProtection="1">
      <alignment horizontal="left" vertical="center"/>
      <protection hidden="1"/>
    </xf>
    <xf numFmtId="0" fontId="119" fillId="39" borderId="35" xfId="0" applyFont="1" applyFill="1" applyBorder="1" applyAlignment="1">
      <alignment/>
    </xf>
    <xf numFmtId="0" fontId="119" fillId="0" borderId="63" xfId="0" applyFont="1" applyBorder="1" applyAlignment="1">
      <alignment horizontal="center"/>
    </xf>
    <xf numFmtId="0" fontId="119" fillId="39" borderId="46" xfId="0" applyFont="1" applyFill="1" applyBorder="1" applyAlignment="1">
      <alignment horizontal="center"/>
    </xf>
    <xf numFmtId="0" fontId="119" fillId="39" borderId="0" xfId="0" applyFont="1" applyFill="1" applyBorder="1" applyAlignment="1">
      <alignment/>
    </xf>
    <xf numFmtId="0" fontId="119" fillId="39" borderId="0" xfId="0" applyFont="1" applyFill="1" applyBorder="1" applyAlignment="1">
      <alignment horizontal="center"/>
    </xf>
    <xf numFmtId="0" fontId="120" fillId="39" borderId="0" xfId="0" applyFont="1" applyFill="1" applyBorder="1" applyAlignment="1">
      <alignment/>
    </xf>
    <xf numFmtId="0" fontId="119" fillId="39" borderId="36" xfId="0" applyFont="1" applyFill="1" applyBorder="1" applyAlignment="1">
      <alignment/>
    </xf>
    <xf numFmtId="0" fontId="119" fillId="39" borderId="64" xfId="0" applyFont="1" applyFill="1" applyBorder="1" applyAlignment="1">
      <alignment/>
    </xf>
    <xf numFmtId="0" fontId="119" fillId="39" borderId="12" xfId="0" applyFont="1" applyFill="1" applyBorder="1" applyAlignment="1">
      <alignment/>
    </xf>
    <xf numFmtId="0" fontId="119" fillId="39" borderId="12" xfId="0" applyFont="1" applyFill="1" applyBorder="1" applyAlignment="1">
      <alignment horizontal="center"/>
    </xf>
    <xf numFmtId="0" fontId="119" fillId="39" borderId="42" xfId="0" applyFont="1" applyFill="1" applyBorder="1" applyAlignment="1">
      <alignment/>
    </xf>
    <xf numFmtId="0" fontId="119" fillId="39" borderId="65" xfId="0" applyFont="1" applyFill="1" applyBorder="1" applyAlignment="1">
      <alignment/>
    </xf>
    <xf numFmtId="0" fontId="119" fillId="39" borderId="11" xfId="0" applyFont="1" applyFill="1" applyBorder="1" applyAlignment="1">
      <alignment/>
    </xf>
    <xf numFmtId="0" fontId="119" fillId="39" borderId="11" xfId="0" applyFont="1" applyFill="1" applyBorder="1" applyAlignment="1">
      <alignment horizontal="center"/>
    </xf>
    <xf numFmtId="0" fontId="119" fillId="39" borderId="41" xfId="0" applyFont="1" applyFill="1" applyBorder="1" applyAlignment="1">
      <alignment/>
    </xf>
    <xf numFmtId="0" fontId="121" fillId="39" borderId="48" xfId="0" applyFont="1" applyFill="1" applyBorder="1" applyAlignment="1">
      <alignment horizontal="center"/>
    </xf>
    <xf numFmtId="0" fontId="0" fillId="39" borderId="35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horizontal="center"/>
    </xf>
    <xf numFmtId="0" fontId="119" fillId="39" borderId="0" xfId="0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119" fillId="39" borderId="61" xfId="0" applyFont="1" applyFill="1" applyBorder="1" applyAlignment="1">
      <alignment horizontal="center" vertical="center"/>
    </xf>
    <xf numFmtId="0" fontId="119" fillId="0" borderId="61" xfId="0" applyFont="1" applyBorder="1" applyAlignment="1">
      <alignment horizontal="center" vertical="center"/>
    </xf>
    <xf numFmtId="0" fontId="119" fillId="0" borderId="6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9" fillId="39" borderId="36" xfId="0" applyFont="1" applyFill="1" applyBorder="1" applyAlignment="1">
      <alignment horizontal="center"/>
    </xf>
    <xf numFmtId="0" fontId="119" fillId="0" borderId="0" xfId="0" applyFont="1" applyAlignment="1">
      <alignment/>
    </xf>
    <xf numFmtId="0" fontId="0" fillId="39" borderId="45" xfId="0" applyFill="1" applyBorder="1" applyAlignment="1">
      <alignment/>
    </xf>
    <xf numFmtId="0" fontId="0" fillId="39" borderId="46" xfId="0" applyFill="1" applyBorder="1" applyAlignment="1">
      <alignment/>
    </xf>
    <xf numFmtId="0" fontId="4" fillId="33" borderId="46" xfId="0" applyFont="1" applyFill="1" applyBorder="1" applyAlignment="1" applyProtection="1">
      <alignment vertical="center"/>
      <protection hidden="1"/>
    </xf>
    <xf numFmtId="0" fontId="109" fillId="39" borderId="46" xfId="0" applyFont="1" applyFill="1" applyBorder="1" applyAlignment="1">
      <alignment/>
    </xf>
    <xf numFmtId="0" fontId="120" fillId="39" borderId="46" xfId="0" applyFont="1" applyFill="1" applyBorder="1" applyAlignment="1">
      <alignment/>
    </xf>
    <xf numFmtId="0" fontId="119" fillId="39" borderId="46" xfId="0" applyFont="1" applyFill="1" applyBorder="1" applyAlignment="1">
      <alignment/>
    </xf>
    <xf numFmtId="0" fontId="119" fillId="39" borderId="47" xfId="0" applyFont="1" applyFill="1" applyBorder="1" applyAlignment="1">
      <alignment horizontal="center"/>
    </xf>
    <xf numFmtId="0" fontId="1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40" borderId="0" xfId="0" applyFont="1" applyFill="1" applyBorder="1" applyAlignment="1" applyProtection="1">
      <alignment vertical="center"/>
      <protection hidden="1"/>
    </xf>
    <xf numFmtId="0" fontId="25" fillId="40" borderId="0" xfId="0" applyFont="1" applyFill="1" applyBorder="1" applyAlignment="1" applyProtection="1">
      <alignment horizontal="left" vertical="center"/>
      <protection hidden="1"/>
    </xf>
    <xf numFmtId="0" fontId="3" fillId="40" borderId="0" xfId="0" applyFont="1" applyFill="1" applyBorder="1" applyAlignment="1" applyProtection="1">
      <alignment horizontal="center" vertical="center"/>
      <protection hidden="1"/>
    </xf>
    <xf numFmtId="0" fontId="3" fillId="40" borderId="54" xfId="0" applyFont="1" applyFill="1" applyBorder="1" applyAlignment="1" applyProtection="1">
      <alignment horizontal="center" vertical="center"/>
      <protection hidden="1"/>
    </xf>
    <xf numFmtId="0" fontId="24" fillId="40" borderId="0" xfId="0" applyFont="1" applyFill="1" applyBorder="1" applyAlignment="1" applyProtection="1">
      <alignment horizontal="left" vertical="center"/>
      <protection hidden="1"/>
    </xf>
    <xf numFmtId="0" fontId="0" fillId="40" borderId="0" xfId="0" applyFill="1" applyBorder="1" applyAlignment="1" applyProtection="1">
      <alignment horizontal="centerContinuous" vertical="center"/>
      <protection hidden="1"/>
    </xf>
    <xf numFmtId="0" fontId="0" fillId="40" borderId="54" xfId="0" applyFill="1" applyBorder="1" applyAlignment="1" applyProtection="1">
      <alignment horizontal="centerContinuous" vertical="center"/>
      <protection hidden="1"/>
    </xf>
    <xf numFmtId="0" fontId="0" fillId="40" borderId="0" xfId="0" applyFill="1" applyBorder="1" applyAlignment="1" applyProtection="1">
      <alignment vertical="center"/>
      <protection hidden="1"/>
    </xf>
    <xf numFmtId="0" fontId="0" fillId="39" borderId="66" xfId="0" applyFill="1" applyBorder="1" applyAlignment="1">
      <alignment/>
    </xf>
    <xf numFmtId="0" fontId="0" fillId="39" borderId="32" xfId="0" applyFill="1" applyBorder="1" applyAlignment="1">
      <alignment/>
    </xf>
    <xf numFmtId="0" fontId="119" fillId="41" borderId="32" xfId="0" applyFont="1" applyFill="1" applyBorder="1" applyAlignment="1">
      <alignment horizontal="center" vertical="center"/>
    </xf>
    <xf numFmtId="0" fontId="119" fillId="39" borderId="32" xfId="0" applyFont="1" applyFill="1" applyBorder="1" applyAlignment="1">
      <alignment horizontal="center" vertical="center"/>
    </xf>
    <xf numFmtId="49" fontId="119" fillId="39" borderId="32" xfId="0" applyNumberFormat="1" applyFont="1" applyFill="1" applyBorder="1" applyAlignment="1">
      <alignment horizontal="center" vertical="center"/>
    </xf>
    <xf numFmtId="49" fontId="119" fillId="39" borderId="34" xfId="0" applyNumberFormat="1" applyFont="1" applyFill="1" applyBorder="1" applyAlignment="1">
      <alignment horizontal="center" vertical="center"/>
    </xf>
    <xf numFmtId="0" fontId="119" fillId="39" borderId="49" xfId="0" applyFont="1" applyFill="1" applyBorder="1" applyAlignment="1">
      <alignment horizontal="center" vertical="center"/>
    </xf>
    <xf numFmtId="49" fontId="119" fillId="39" borderId="0" xfId="0" applyNumberFormat="1" applyFont="1" applyFill="1" applyBorder="1" applyAlignment="1">
      <alignment horizontal="center" vertical="center"/>
    </xf>
    <xf numFmtId="49" fontId="119" fillId="39" borderId="54" xfId="0" applyNumberFormat="1" applyFont="1" applyFill="1" applyBorder="1" applyAlignment="1">
      <alignment horizontal="center" vertical="center"/>
    </xf>
    <xf numFmtId="0" fontId="120" fillId="40" borderId="67" xfId="0" applyFont="1" applyFill="1" applyBorder="1" applyAlignment="1">
      <alignment horizontal="center" vertical="center"/>
    </xf>
    <xf numFmtId="0" fontId="119" fillId="0" borderId="68" xfId="0" applyFont="1" applyBorder="1" applyAlignment="1">
      <alignment horizontal="center" vertical="center"/>
    </xf>
    <xf numFmtId="0" fontId="120" fillId="40" borderId="69" xfId="0" applyNumberFormat="1" applyFont="1" applyFill="1" applyBorder="1" applyAlignment="1">
      <alignment horizontal="center" vertical="center"/>
    </xf>
    <xf numFmtId="49" fontId="120" fillId="39" borderId="0" xfId="0" applyNumberFormat="1" applyFont="1" applyFill="1" applyBorder="1" applyAlignment="1">
      <alignment horizontal="center" vertical="center"/>
    </xf>
    <xf numFmtId="49" fontId="119" fillId="0" borderId="0" xfId="0" applyNumberFormat="1" applyFont="1" applyBorder="1" applyAlignment="1">
      <alignment horizontal="center" vertical="center"/>
    </xf>
    <xf numFmtId="49" fontId="120" fillId="40" borderId="69" xfId="0" applyNumberFormat="1" applyFont="1" applyFill="1" applyBorder="1" applyAlignment="1">
      <alignment horizontal="center" vertical="center"/>
    </xf>
    <xf numFmtId="49" fontId="119" fillId="41" borderId="54" xfId="0" applyNumberFormat="1" applyFont="1" applyFill="1" applyBorder="1" applyAlignment="1">
      <alignment horizontal="center" vertical="center"/>
    </xf>
    <xf numFmtId="49" fontId="120" fillId="40" borderId="70" xfId="0" applyNumberFormat="1" applyFont="1" applyFill="1" applyBorder="1" applyAlignment="1">
      <alignment horizontal="center" vertical="center"/>
    </xf>
    <xf numFmtId="49" fontId="120" fillId="42" borderId="70" xfId="0" applyNumberFormat="1" applyFont="1" applyFill="1" applyBorder="1" applyAlignment="1">
      <alignment horizontal="center" vertical="center"/>
    </xf>
    <xf numFmtId="0" fontId="119" fillId="0" borderId="60" xfId="0" applyFont="1" applyBorder="1" applyAlignment="1">
      <alignment horizontal="center" vertical="center"/>
    </xf>
    <xf numFmtId="0" fontId="119" fillId="0" borderId="61" xfId="0" applyFont="1" applyBorder="1" applyAlignment="1">
      <alignment horizontal="center" vertical="center" wrapText="1"/>
    </xf>
    <xf numFmtId="0" fontId="119" fillId="41" borderId="49" xfId="0" applyFont="1" applyFill="1" applyBorder="1" applyAlignment="1">
      <alignment horizontal="center" vertical="center"/>
    </xf>
    <xf numFmtId="0" fontId="119" fillId="41" borderId="0" xfId="0" applyFont="1" applyFill="1" applyBorder="1" applyAlignment="1">
      <alignment horizontal="center" vertical="center"/>
    </xf>
    <xf numFmtId="0" fontId="119" fillId="39" borderId="38" xfId="0" applyFont="1" applyFill="1" applyBorder="1" applyAlignment="1">
      <alignment horizontal="center" vertical="center"/>
    </xf>
    <xf numFmtId="0" fontId="119" fillId="0" borderId="71" xfId="0" applyFont="1" applyBorder="1" applyAlignment="1">
      <alignment horizontal="center" vertical="center"/>
    </xf>
    <xf numFmtId="0" fontId="119" fillId="0" borderId="72" xfId="0" applyFont="1" applyBorder="1" applyAlignment="1">
      <alignment horizontal="center" vertical="center"/>
    </xf>
    <xf numFmtId="0" fontId="119" fillId="0" borderId="72" xfId="0" applyNumberFormat="1" applyFont="1" applyBorder="1" applyAlignment="1">
      <alignment horizontal="center" vertical="center"/>
    </xf>
    <xf numFmtId="0" fontId="119" fillId="0" borderId="73" xfId="0" applyNumberFormat="1" applyFont="1" applyBorder="1" applyAlignment="1">
      <alignment horizontal="center" vertical="center"/>
    </xf>
    <xf numFmtId="0" fontId="120" fillId="40" borderId="69" xfId="0" applyFont="1" applyFill="1" applyBorder="1" applyAlignment="1">
      <alignment horizontal="center" vertical="center"/>
    </xf>
    <xf numFmtId="0" fontId="119" fillId="0" borderId="74" xfId="0" applyFont="1" applyBorder="1" applyAlignment="1">
      <alignment horizontal="center" vertical="center"/>
    </xf>
    <xf numFmtId="0" fontId="119" fillId="0" borderId="61" xfId="0" applyNumberFormat="1" applyFont="1" applyBorder="1" applyAlignment="1">
      <alignment horizontal="center" vertical="center"/>
    </xf>
    <xf numFmtId="0" fontId="119" fillId="0" borderId="63" xfId="0" applyNumberFormat="1" applyFont="1" applyBorder="1" applyAlignment="1">
      <alignment horizontal="center" vertical="center"/>
    </xf>
    <xf numFmtId="0" fontId="0" fillId="39" borderId="35" xfId="0" applyFill="1" applyBorder="1" applyAlignment="1">
      <alignment horizontal="center" vertical="center"/>
    </xf>
    <xf numFmtId="0" fontId="119" fillId="39" borderId="36" xfId="0" applyFont="1" applyFill="1" applyBorder="1" applyAlignment="1">
      <alignment horizontal="center" vertical="center"/>
    </xf>
    <xf numFmtId="0" fontId="119" fillId="39" borderId="35" xfId="0" applyFont="1" applyFill="1" applyBorder="1" applyAlignment="1">
      <alignment horizontal="center" vertical="center"/>
    </xf>
    <xf numFmtId="49" fontId="119" fillId="39" borderId="36" xfId="0" applyNumberFormat="1" applyFont="1" applyFill="1" applyBorder="1" applyAlignment="1">
      <alignment horizontal="center" vertical="center"/>
    </xf>
    <xf numFmtId="0" fontId="122" fillId="40" borderId="69" xfId="0" applyFont="1" applyFill="1" applyBorder="1" applyAlignment="1">
      <alignment horizontal="center" vertical="center"/>
    </xf>
    <xf numFmtId="0" fontId="120" fillId="40" borderId="75" xfId="0" applyFont="1" applyFill="1" applyBorder="1" applyAlignment="1">
      <alignment horizontal="center" vertical="center"/>
    </xf>
    <xf numFmtId="49" fontId="122" fillId="40" borderId="69" xfId="0" applyNumberFormat="1" applyFont="1" applyFill="1" applyBorder="1" applyAlignment="1">
      <alignment horizontal="center" vertical="center"/>
    </xf>
    <xf numFmtId="0" fontId="120" fillId="40" borderId="0" xfId="0" applyFont="1" applyFill="1" applyBorder="1" applyAlignment="1">
      <alignment horizontal="center" vertical="center"/>
    </xf>
    <xf numFmtId="49" fontId="120" fillId="40" borderId="0" xfId="0" applyNumberFormat="1" applyFont="1" applyFill="1" applyBorder="1" applyAlignment="1">
      <alignment horizontal="center" vertical="center"/>
    </xf>
    <xf numFmtId="0" fontId="120" fillId="39" borderId="62" xfId="0" applyFont="1" applyFill="1" applyBorder="1" applyAlignment="1">
      <alignment horizontal="center" vertical="center"/>
    </xf>
    <xf numFmtId="0" fontId="119" fillId="0" borderId="76" xfId="0" applyFont="1" applyBorder="1" applyAlignment="1">
      <alignment horizontal="center" vertical="center"/>
    </xf>
    <xf numFmtId="0" fontId="119" fillId="0" borderId="77" xfId="0" applyFont="1" applyBorder="1" applyAlignment="1">
      <alignment horizontal="center" vertical="center"/>
    </xf>
    <xf numFmtId="49" fontId="119" fillId="0" borderId="77" xfId="0" applyNumberFormat="1" applyFont="1" applyBorder="1" applyAlignment="1">
      <alignment horizontal="center" vertical="center"/>
    </xf>
    <xf numFmtId="49" fontId="119" fillId="0" borderId="78" xfId="0" applyNumberFormat="1" applyFont="1" applyBorder="1" applyAlignment="1">
      <alignment horizontal="center" vertical="center"/>
    </xf>
    <xf numFmtId="0" fontId="120" fillId="39" borderId="61" xfId="0" applyFont="1" applyFill="1" applyBorder="1" applyAlignment="1">
      <alignment horizontal="center" vertical="center"/>
    </xf>
    <xf numFmtId="0" fontId="119" fillId="39" borderId="0" xfId="0" applyFont="1" applyFill="1" applyAlignment="1">
      <alignment horizontal="center" vertical="center"/>
    </xf>
    <xf numFmtId="49" fontId="119" fillId="39" borderId="0" xfId="0" applyNumberFormat="1" applyFont="1" applyFill="1" applyAlignment="1">
      <alignment horizontal="center" vertical="center"/>
    </xf>
    <xf numFmtId="49" fontId="119" fillId="39" borderId="59" xfId="0" applyNumberFormat="1" applyFont="1" applyFill="1" applyBorder="1" applyAlignment="1">
      <alignment horizontal="center" vertical="center"/>
    </xf>
    <xf numFmtId="0" fontId="119" fillId="0" borderId="0" xfId="0" applyFont="1" applyAlignment="1">
      <alignment horizontal="center" vertical="center"/>
    </xf>
    <xf numFmtId="49" fontId="119" fillId="0" borderId="0" xfId="0" applyNumberFormat="1" applyFont="1" applyAlignment="1">
      <alignment horizontal="center" vertical="center"/>
    </xf>
    <xf numFmtId="0" fontId="119" fillId="0" borderId="0" xfId="0" applyFont="1" applyFill="1" applyAlignment="1">
      <alignment/>
    </xf>
    <xf numFmtId="49" fontId="0" fillId="0" borderId="0" xfId="0" applyNumberFormat="1" applyAlignment="1">
      <alignment horizontal="center" vertical="center"/>
    </xf>
    <xf numFmtId="0" fontId="26" fillId="33" borderId="0" xfId="0" applyFont="1" applyFill="1" applyAlignment="1" applyProtection="1">
      <alignment vertical="center"/>
      <protection hidden="1"/>
    </xf>
    <xf numFmtId="0" fontId="121" fillId="33" borderId="0" xfId="0" applyFont="1" applyFill="1" applyAlignment="1" applyProtection="1">
      <alignment vertical="center"/>
      <protection hidden="1"/>
    </xf>
    <xf numFmtId="0" fontId="121" fillId="33" borderId="0" xfId="0" applyFont="1" applyFill="1" applyAlignment="1" applyProtection="1">
      <alignment/>
      <protection hidden="1"/>
    </xf>
    <xf numFmtId="0" fontId="121" fillId="0" borderId="0" xfId="0" applyFont="1" applyAlignment="1">
      <alignment/>
    </xf>
    <xf numFmtId="1" fontId="0" fillId="0" borderId="50" xfId="0" applyNumberFormat="1" applyBorder="1" applyAlignment="1" applyProtection="1">
      <alignment horizontal="center" vertical="center"/>
      <protection hidden="1"/>
    </xf>
    <xf numFmtId="0" fontId="0" fillId="33" borderId="0" xfId="0" applyFill="1" applyAlignment="1" applyProtection="1" quotePrefix="1">
      <alignment horizontal="center" vertical="center"/>
      <protection hidden="1"/>
    </xf>
    <xf numFmtId="0" fontId="121" fillId="33" borderId="0" xfId="0" applyFont="1" applyFill="1" applyBorder="1" applyAlignment="1" applyProtection="1">
      <alignment vertical="center"/>
      <protection hidden="1"/>
    </xf>
    <xf numFmtId="0" fontId="39" fillId="33" borderId="0" xfId="0" applyFont="1" applyFill="1" applyBorder="1" applyAlignment="1" applyProtection="1">
      <alignment/>
      <protection hidden="1"/>
    </xf>
    <xf numFmtId="1" fontId="10" fillId="34" borderId="79" xfId="0" applyNumberFormat="1" applyFont="1" applyFill="1" applyBorder="1" applyAlignment="1" applyProtection="1">
      <alignment horizontal="center" vertical="center"/>
      <protection hidden="1"/>
    </xf>
    <xf numFmtId="1" fontId="10" fillId="34" borderId="80" xfId="0" applyNumberFormat="1" applyFont="1" applyFill="1" applyBorder="1" applyAlignment="1" applyProtection="1">
      <alignment horizontal="center" vertical="center"/>
      <protection hidden="1"/>
    </xf>
    <xf numFmtId="0" fontId="121" fillId="33" borderId="0" xfId="0" applyFont="1" applyFill="1" applyAlignment="1" applyProtection="1" quotePrefix="1">
      <alignment horizontal="center" vertical="center"/>
      <protection hidden="1"/>
    </xf>
    <xf numFmtId="0" fontId="39" fillId="33" borderId="0" xfId="0" applyFont="1" applyFill="1" applyAlignment="1" applyProtection="1">
      <alignment horizontal="left"/>
      <protection hidden="1"/>
    </xf>
    <xf numFmtId="0" fontId="40" fillId="33" borderId="0" xfId="0" applyFont="1" applyFill="1" applyBorder="1" applyAlignment="1" applyProtection="1">
      <alignment horizontal="center" vertical="center"/>
      <protection hidden="1"/>
    </xf>
    <xf numFmtId="1" fontId="8" fillId="33" borderId="33" xfId="0" applyNumberFormat="1" applyFont="1" applyFill="1" applyBorder="1" applyAlignment="1" applyProtection="1">
      <alignment horizontal="centerContinuous" vertical="center"/>
      <protection hidden="1"/>
    </xf>
    <xf numFmtId="1" fontId="0" fillId="33" borderId="33" xfId="0" applyNumberFormat="1" applyFill="1" applyBorder="1" applyAlignment="1" applyProtection="1">
      <alignment horizontal="centerContinuous" vertical="center"/>
      <protection hidden="1"/>
    </xf>
    <xf numFmtId="1" fontId="40" fillId="33" borderId="0" xfId="0" applyNumberFormat="1" applyFont="1" applyFill="1" applyBorder="1" applyAlignment="1" applyProtection="1">
      <alignment horizontal="center" vertical="center"/>
      <protection hidden="1"/>
    </xf>
    <xf numFmtId="1" fontId="10" fillId="33" borderId="49" xfId="0" applyNumberFormat="1" applyFont="1" applyFill="1" applyBorder="1" applyAlignment="1" applyProtection="1">
      <alignment horizontal="center" vertical="center"/>
      <protection hidden="1"/>
    </xf>
    <xf numFmtId="0" fontId="10" fillId="33" borderId="54" xfId="0" applyFont="1" applyFill="1" applyBorder="1" applyAlignment="1" applyProtection="1">
      <alignment horizontal="center" vertical="center"/>
      <protection hidden="1"/>
    </xf>
    <xf numFmtId="0" fontId="40" fillId="0" borderId="11" xfId="0" applyFont="1" applyBorder="1" applyAlignment="1" applyProtection="1">
      <alignment vertical="center"/>
      <protection hidden="1"/>
    </xf>
    <xf numFmtId="1" fontId="10" fillId="0" borderId="27" xfId="0" applyNumberFormat="1" applyFont="1" applyBorder="1" applyAlignment="1" applyProtection="1" quotePrefix="1">
      <alignment horizontal="centerContinuous" vertical="center"/>
      <protection hidden="1"/>
    </xf>
    <xf numFmtId="0" fontId="40" fillId="0" borderId="10" xfId="0" applyFont="1" applyBorder="1" applyAlignment="1" applyProtection="1">
      <alignment vertical="center"/>
      <protection hidden="1"/>
    </xf>
    <xf numFmtId="0" fontId="40" fillId="0" borderId="12" xfId="0" applyFont="1" applyBorder="1" applyAlignment="1" applyProtection="1">
      <alignment vertical="center"/>
      <protection hidden="1"/>
    </xf>
    <xf numFmtId="0" fontId="39" fillId="33" borderId="0" xfId="0" applyFont="1" applyFill="1" applyAlignment="1" applyProtection="1">
      <alignment vertical="center"/>
      <protection hidden="1"/>
    </xf>
    <xf numFmtId="0" fontId="41" fillId="33" borderId="0" xfId="0" applyFont="1" applyFill="1" applyAlignment="1" applyProtection="1">
      <alignment horizontal="left"/>
      <protection hidden="1"/>
    </xf>
    <xf numFmtId="1" fontId="40" fillId="33" borderId="0" xfId="0" applyNumberFormat="1" applyFont="1" applyFill="1" applyAlignment="1" applyProtection="1">
      <alignment horizontal="center" vertical="center"/>
      <protection hidden="1"/>
    </xf>
    <xf numFmtId="0" fontId="121" fillId="0" borderId="10" xfId="0" applyFont="1" applyBorder="1" applyAlignment="1" applyProtection="1">
      <alignment vertical="center"/>
      <protection hidden="1"/>
    </xf>
    <xf numFmtId="1" fontId="10" fillId="34" borderId="14" xfId="0" applyNumberFormat="1" applyFont="1" applyFill="1" applyBorder="1" applyAlignment="1" applyProtection="1">
      <alignment horizontal="center" vertical="center"/>
      <protection hidden="1"/>
    </xf>
    <xf numFmtId="1" fontId="10" fillId="34" borderId="51" xfId="0" applyNumberFormat="1" applyFont="1" applyFill="1" applyBorder="1" applyAlignment="1" applyProtection="1">
      <alignment horizontal="center" vertical="center"/>
      <protection hidden="1"/>
    </xf>
    <xf numFmtId="0" fontId="40" fillId="33" borderId="0" xfId="0" applyFont="1" applyFill="1" applyAlignment="1" applyProtection="1" quotePrefix="1">
      <alignment horizontal="center" vertical="center"/>
      <protection hidden="1"/>
    </xf>
    <xf numFmtId="0" fontId="10" fillId="33" borderId="49" xfId="0" applyFont="1" applyFill="1" applyBorder="1" applyAlignment="1" applyProtection="1">
      <alignment horizontal="center" vertical="center"/>
      <protection hidden="1"/>
    </xf>
    <xf numFmtId="0" fontId="40" fillId="33" borderId="0" xfId="0" applyFont="1" applyFill="1" applyAlignment="1" applyProtection="1" quotePrefix="1">
      <alignment/>
      <protection hidden="1"/>
    </xf>
    <xf numFmtId="1" fontId="10" fillId="0" borderId="26" xfId="0" applyNumberFormat="1" applyFont="1" applyBorder="1" applyAlignment="1" applyProtection="1" quotePrefix="1">
      <alignment horizontal="centerContinuous" vertical="center"/>
      <protection hidden="1"/>
    </xf>
    <xf numFmtId="0" fontId="10" fillId="0" borderId="28" xfId="0" applyFont="1" applyBorder="1" applyAlignment="1" applyProtection="1">
      <alignment horizontal="centerContinuous" vertical="center"/>
      <protection hidden="1"/>
    </xf>
    <xf numFmtId="0" fontId="121" fillId="0" borderId="10" xfId="0" applyFont="1" applyBorder="1" applyAlignment="1" applyProtection="1">
      <alignment/>
      <protection hidden="1"/>
    </xf>
    <xf numFmtId="0" fontId="121" fillId="0" borderId="11" xfId="0" applyFont="1" applyBorder="1" applyAlignment="1" applyProtection="1">
      <alignment/>
      <protection hidden="1"/>
    </xf>
    <xf numFmtId="0" fontId="121" fillId="0" borderId="0" xfId="0" applyFont="1" applyBorder="1" applyAlignment="1" applyProtection="1">
      <alignment/>
      <protection hidden="1"/>
    </xf>
    <xf numFmtId="1" fontId="10" fillId="0" borderId="49" xfId="0" applyNumberFormat="1" applyFont="1" applyBorder="1" applyAlignment="1" applyProtection="1" quotePrefix="1">
      <alignment horizontal="centerContinuous" vertical="center"/>
      <protection hidden="1"/>
    </xf>
    <xf numFmtId="0" fontId="10" fillId="0" borderId="54" xfId="0" applyFont="1" applyBorder="1" applyAlignment="1" applyProtection="1">
      <alignment horizontal="centerContinuous" vertical="center"/>
      <protection hidden="1"/>
    </xf>
    <xf numFmtId="0" fontId="41" fillId="33" borderId="11" xfId="0" applyFont="1" applyFill="1" applyBorder="1" applyAlignment="1" applyProtection="1">
      <alignment horizontal="left"/>
      <protection hidden="1"/>
    </xf>
    <xf numFmtId="0" fontId="41" fillId="33" borderId="11" xfId="0" applyFont="1" applyFill="1" applyBorder="1" applyAlignment="1" applyProtection="1" quotePrefix="1">
      <alignment horizontal="left"/>
      <protection hidden="1"/>
    </xf>
    <xf numFmtId="0" fontId="43" fillId="33" borderId="11" xfId="0" applyFont="1" applyFill="1" applyBorder="1" applyAlignment="1" applyProtection="1" quotePrefix="1">
      <alignment horizontal="left" vertical="center"/>
      <protection hidden="1"/>
    </xf>
    <xf numFmtId="0" fontId="10" fillId="33" borderId="28" xfId="0" applyFont="1" applyFill="1" applyBorder="1" applyAlignment="1" applyProtection="1">
      <alignment vertical="center"/>
      <protection hidden="1"/>
    </xf>
    <xf numFmtId="0" fontId="44" fillId="33" borderId="0" xfId="0" applyFont="1" applyFill="1" applyAlignment="1" applyProtection="1" quotePrefix="1">
      <alignment/>
      <protection hidden="1"/>
    </xf>
    <xf numFmtId="0" fontId="0" fillId="36" borderId="0" xfId="0" applyFill="1" applyAlignment="1" applyProtection="1">
      <alignment vertical="center"/>
      <protection hidden="1"/>
    </xf>
    <xf numFmtId="0" fontId="0" fillId="33" borderId="0" xfId="0" applyFill="1" applyBorder="1" applyAlignment="1" applyProtection="1" quotePrefix="1">
      <alignment horizontal="left" vertical="center"/>
      <protection hidden="1"/>
    </xf>
    <xf numFmtId="0" fontId="10" fillId="33" borderId="0" xfId="0" applyFont="1" applyFill="1" applyBorder="1" applyAlignment="1" applyProtection="1">
      <alignment horizontal="left" vertical="center"/>
      <protection hidden="1"/>
    </xf>
    <xf numFmtId="0" fontId="10" fillId="33" borderId="11" xfId="0" applyFont="1" applyFill="1" applyBorder="1" applyAlignment="1" applyProtection="1">
      <alignment horizontal="left" vertical="center"/>
      <protection hidden="1"/>
    </xf>
    <xf numFmtId="0" fontId="10" fillId="33" borderId="11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Alignment="1" applyProtection="1">
      <alignment horizontal="center" vertical="center"/>
      <protection hidden="1"/>
    </xf>
    <xf numFmtId="0" fontId="9" fillId="33" borderId="0" xfId="0" applyFont="1" applyFill="1" applyAlignment="1" applyProtection="1" quotePrefix="1">
      <alignment horizontal="right" vertical="center"/>
      <protection hidden="1"/>
    </xf>
    <xf numFmtId="0" fontId="9" fillId="33" borderId="0" xfId="0" applyFont="1" applyFill="1" applyAlignment="1" applyProtection="1">
      <alignment/>
      <protection hidden="1"/>
    </xf>
    <xf numFmtId="0" fontId="9" fillId="33" borderId="0" xfId="0" applyFont="1" applyFill="1" applyAlignment="1" applyProtection="1" quotePrefix="1">
      <alignment horizontal="center"/>
      <protection hidden="1"/>
    </xf>
    <xf numFmtId="0" fontId="42" fillId="33" borderId="0" xfId="0" applyFont="1" applyFill="1" applyBorder="1" applyAlignment="1" applyProtection="1">
      <alignment horizontal="right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right"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0" fillId="33" borderId="0" xfId="0" applyFill="1" applyAlignment="1" applyProtection="1">
      <alignment horizontal="left" vertical="center"/>
      <protection hidden="1"/>
    </xf>
    <xf numFmtId="0" fontId="8" fillId="33" borderId="81" xfId="0" applyFont="1" applyFill="1" applyBorder="1" applyAlignment="1" applyProtection="1">
      <alignment horizontal="centerContinuous" vertical="center"/>
      <protection hidden="1"/>
    </xf>
    <xf numFmtId="0" fontId="0" fillId="33" borderId="82" xfId="0" applyFill="1" applyBorder="1" applyAlignment="1" applyProtection="1">
      <alignment horizontal="centerContinuous" vertical="center"/>
      <protection hidden="1"/>
    </xf>
    <xf numFmtId="0" fontId="10" fillId="33" borderId="50" xfId="0" applyFont="1" applyFill="1" applyBorder="1" applyAlignment="1" applyProtection="1">
      <alignment horizontal="center" vertical="center"/>
      <protection hidden="1"/>
    </xf>
    <xf numFmtId="0" fontId="10" fillId="33" borderId="55" xfId="0" applyFont="1" applyFill="1" applyBorder="1" applyAlignment="1" applyProtection="1">
      <alignment horizontal="center" vertical="center"/>
      <protection hidden="1"/>
    </xf>
    <xf numFmtId="1" fontId="10" fillId="33" borderId="55" xfId="0" applyNumberFormat="1" applyFont="1" applyFill="1" applyBorder="1" applyAlignment="1" applyProtection="1">
      <alignment horizontal="center" vertical="center"/>
      <protection hidden="1"/>
    </xf>
    <xf numFmtId="0" fontId="49" fillId="33" borderId="74" xfId="0" applyFont="1" applyFill="1" applyBorder="1" applyAlignment="1" applyProtection="1">
      <alignment horizontal="centerContinuous" vertical="center"/>
      <protection hidden="1"/>
    </xf>
    <xf numFmtId="0" fontId="50" fillId="33" borderId="74" xfId="0" applyFont="1" applyFill="1" applyBorder="1" applyAlignment="1" applyProtection="1">
      <alignment horizontal="centerContinuous" vertical="center"/>
      <protection hidden="1"/>
    </xf>
    <xf numFmtId="0" fontId="3" fillId="33" borderId="81" xfId="0" applyFont="1" applyFill="1" applyBorder="1" applyAlignment="1" applyProtection="1">
      <alignment horizontal="centerContinuous" vertical="center"/>
      <protection hidden="1"/>
    </xf>
    <xf numFmtId="0" fontId="10" fillId="33" borderId="82" xfId="0" applyFont="1" applyFill="1" applyBorder="1" applyAlignment="1" applyProtection="1">
      <alignment horizontal="centerContinuous" vertical="center"/>
      <protection hidden="1"/>
    </xf>
    <xf numFmtId="0" fontId="3" fillId="33" borderId="83" xfId="0" applyFont="1" applyFill="1" applyBorder="1" applyAlignment="1" applyProtection="1">
      <alignment horizontal="centerContinuous" vertical="center"/>
      <protection hidden="1"/>
    </xf>
    <xf numFmtId="0" fontId="10" fillId="33" borderId="26" xfId="0" applyFont="1" applyFill="1" applyBorder="1" applyAlignment="1" applyProtection="1">
      <alignment horizontal="center" vertical="center"/>
      <protection hidden="1"/>
    </xf>
    <xf numFmtId="0" fontId="17" fillId="33" borderId="74" xfId="0" applyFont="1" applyFill="1" applyBorder="1" applyAlignment="1" applyProtection="1">
      <alignment horizontal="centerContinuous" vertical="center"/>
      <protection hidden="1"/>
    </xf>
    <xf numFmtId="1" fontId="10" fillId="0" borderId="84" xfId="0" applyNumberFormat="1" applyFont="1" applyBorder="1" applyAlignment="1" applyProtection="1">
      <alignment horizontal="center" vertical="center"/>
      <protection hidden="1"/>
    </xf>
    <xf numFmtId="0" fontId="10" fillId="33" borderId="26" xfId="0" applyFont="1" applyFill="1" applyBorder="1" applyAlignment="1" applyProtection="1" quotePrefix="1">
      <alignment horizontal="center" vertical="center"/>
      <protection hidden="1"/>
    </xf>
    <xf numFmtId="0" fontId="10" fillId="0" borderId="85" xfId="0" applyFont="1" applyBorder="1" applyAlignment="1" applyProtection="1">
      <alignment horizontal="center" vertical="center"/>
      <protection hidden="1"/>
    </xf>
    <xf numFmtId="0" fontId="10" fillId="33" borderId="86" xfId="0" applyFont="1" applyFill="1" applyBorder="1" applyAlignment="1" applyProtection="1" quotePrefix="1">
      <alignment horizontal="center" vertical="center"/>
      <protection hidden="1"/>
    </xf>
    <xf numFmtId="0" fontId="10" fillId="0" borderId="80" xfId="0" applyFont="1" applyBorder="1" applyAlignment="1" applyProtection="1">
      <alignment horizontal="center" vertical="center"/>
      <protection hidden="1"/>
    </xf>
    <xf numFmtId="0" fontId="10" fillId="33" borderId="87" xfId="0" applyFont="1" applyFill="1" applyBorder="1" applyAlignment="1" applyProtection="1" quotePrefix="1">
      <alignment horizontal="center" vertical="center"/>
      <protection hidden="1"/>
    </xf>
    <xf numFmtId="0" fontId="10" fillId="33" borderId="86" xfId="0" applyFont="1" applyFill="1" applyBorder="1" applyAlignment="1" applyProtection="1">
      <alignment horizontal="center" vertical="center"/>
      <protection hidden="1"/>
    </xf>
    <xf numFmtId="1" fontId="10" fillId="33" borderId="86" xfId="0" applyNumberFormat="1" applyFont="1" applyFill="1" applyBorder="1" applyAlignment="1" applyProtection="1">
      <alignment horizontal="center" vertical="center"/>
      <protection hidden="1"/>
    </xf>
    <xf numFmtId="0" fontId="119" fillId="0" borderId="0" xfId="0" applyFont="1" applyBorder="1" applyAlignment="1">
      <alignment horizontal="center"/>
    </xf>
    <xf numFmtId="0" fontId="119" fillId="0" borderId="0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hidden="1"/>
    </xf>
    <xf numFmtId="0" fontId="53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 applyProtection="1">
      <alignment horizontal="center" vertical="center" wrapText="1"/>
      <protection/>
    </xf>
    <xf numFmtId="0" fontId="119" fillId="33" borderId="36" xfId="0" applyFont="1" applyFill="1" applyBorder="1" applyAlignment="1">
      <alignment horizontal="center" vertical="center"/>
    </xf>
    <xf numFmtId="0" fontId="55" fillId="38" borderId="69" xfId="0" applyFont="1" applyFill="1" applyBorder="1" applyAlignment="1">
      <alignment horizontal="center" vertical="center"/>
    </xf>
    <xf numFmtId="1" fontId="36" fillId="0" borderId="51" xfId="0" applyNumberFormat="1" applyFont="1" applyBorder="1" applyAlignment="1" applyProtection="1">
      <alignment horizontal="center" vertical="center"/>
      <protection hidden="1"/>
    </xf>
    <xf numFmtId="1" fontId="36" fillId="34" borderId="88" xfId="0" applyNumberFormat="1" applyFont="1" applyFill="1" applyBorder="1" applyAlignment="1" applyProtection="1">
      <alignment horizontal="center" vertical="center"/>
      <protection hidden="1"/>
    </xf>
    <xf numFmtId="1" fontId="36" fillId="34" borderId="89" xfId="0" applyNumberFormat="1" applyFont="1" applyFill="1" applyBorder="1" applyAlignment="1" applyProtection="1">
      <alignment horizontal="center" vertical="center"/>
      <protection hidden="1"/>
    </xf>
    <xf numFmtId="1" fontId="56" fillId="34" borderId="89" xfId="0" applyNumberFormat="1" applyFont="1" applyFill="1" applyBorder="1" applyAlignment="1" applyProtection="1">
      <alignment horizontal="center" vertical="center"/>
      <protection hidden="1"/>
    </xf>
    <xf numFmtId="1" fontId="36" fillId="0" borderId="21" xfId="0" applyNumberFormat="1" applyFont="1" applyBorder="1" applyAlignment="1" applyProtection="1">
      <alignment horizontal="center" vertical="center"/>
      <protection hidden="1"/>
    </xf>
    <xf numFmtId="1" fontId="36" fillId="34" borderId="90" xfId="0" applyNumberFormat="1" applyFont="1" applyFill="1" applyBorder="1" applyAlignment="1" applyProtection="1">
      <alignment horizontal="center" vertical="center"/>
      <protection hidden="1"/>
    </xf>
    <xf numFmtId="0" fontId="119" fillId="33" borderId="0" xfId="0" applyFont="1" applyFill="1" applyBorder="1" applyAlignment="1">
      <alignment horizontal="center" vertical="center"/>
    </xf>
    <xf numFmtId="1" fontId="53" fillId="33" borderId="33" xfId="0" applyNumberFormat="1" applyFont="1" applyFill="1" applyBorder="1" applyAlignment="1" applyProtection="1">
      <alignment horizontal="center" vertical="center" wrapText="1"/>
      <protection hidden="1"/>
    </xf>
    <xf numFmtId="0" fontId="119" fillId="33" borderId="35" xfId="0" applyFont="1" applyFill="1" applyBorder="1" applyAlignment="1">
      <alignment horizontal="center" vertical="center"/>
    </xf>
    <xf numFmtId="0" fontId="36" fillId="0" borderId="88" xfId="0" applyFont="1" applyBorder="1" applyAlignment="1" applyProtection="1">
      <alignment horizontal="center" vertical="center"/>
      <protection hidden="1"/>
    </xf>
    <xf numFmtId="0" fontId="36" fillId="0" borderId="89" xfId="0" applyFont="1" applyBorder="1" applyAlignment="1" applyProtection="1">
      <alignment horizontal="center" vertical="center"/>
      <protection hidden="1"/>
    </xf>
    <xf numFmtId="0" fontId="36" fillId="0" borderId="91" xfId="0" applyFont="1" applyBorder="1" applyAlignment="1" applyProtection="1">
      <alignment horizontal="center" vertical="center"/>
      <protection hidden="1"/>
    </xf>
    <xf numFmtId="0" fontId="36" fillId="33" borderId="89" xfId="0" applyFont="1" applyFill="1" applyBorder="1" applyAlignment="1" applyProtection="1">
      <alignment horizontal="center" vertical="center"/>
      <protection hidden="1"/>
    </xf>
    <xf numFmtId="0" fontId="36" fillId="0" borderId="92" xfId="0" applyFont="1" applyBorder="1" applyAlignment="1" applyProtection="1">
      <alignment horizontal="center" vertical="center"/>
      <protection hidden="1"/>
    </xf>
    <xf numFmtId="1" fontId="56" fillId="34" borderId="92" xfId="0" applyNumberFormat="1" applyFont="1" applyFill="1" applyBorder="1" applyAlignment="1" applyProtection="1">
      <alignment horizontal="center" vertical="center"/>
      <protection hidden="1"/>
    </xf>
    <xf numFmtId="1" fontId="36" fillId="34" borderId="92" xfId="0" applyNumberFormat="1" applyFont="1" applyFill="1" applyBorder="1" applyAlignment="1" applyProtection="1">
      <alignment horizontal="center" vertical="center"/>
      <protection hidden="1"/>
    </xf>
    <xf numFmtId="1" fontId="36" fillId="34" borderId="91" xfId="0" applyNumberFormat="1" applyFont="1" applyFill="1" applyBorder="1" applyAlignment="1" applyProtection="1">
      <alignment horizontal="center" vertical="center"/>
      <protection hidden="1"/>
    </xf>
    <xf numFmtId="0" fontId="52" fillId="33" borderId="89" xfId="0" applyFont="1" applyFill="1" applyBorder="1" applyAlignment="1" applyProtection="1">
      <alignment horizontal="center" vertical="center"/>
      <protection hidden="1"/>
    </xf>
    <xf numFmtId="0" fontId="53" fillId="38" borderId="69" xfId="0" applyFont="1" applyFill="1" applyBorder="1" applyAlignment="1" applyProtection="1">
      <alignment horizontal="center" vertical="center"/>
      <protection hidden="1"/>
    </xf>
    <xf numFmtId="0" fontId="53" fillId="33" borderId="0" xfId="0" applyFont="1" applyFill="1" applyBorder="1" applyAlignment="1" applyProtection="1">
      <alignment horizontal="center" vertical="center"/>
      <protection hidden="1"/>
    </xf>
    <xf numFmtId="0" fontId="36" fillId="33" borderId="0" xfId="0" applyFont="1" applyFill="1" applyBorder="1" applyAlignment="1">
      <alignment horizontal="center" vertical="center"/>
    </xf>
    <xf numFmtId="0" fontId="36" fillId="33" borderId="0" xfId="0" applyFont="1" applyFill="1" applyBorder="1" applyAlignment="1" applyProtection="1">
      <alignment horizontal="center" vertical="center"/>
      <protection hidden="1"/>
    </xf>
    <xf numFmtId="0" fontId="55" fillId="33" borderId="0" xfId="0" applyFont="1" applyFill="1" applyBorder="1" applyAlignment="1" applyProtection="1">
      <alignment horizontal="center" vertical="center"/>
      <protection/>
    </xf>
    <xf numFmtId="0" fontId="0" fillId="39" borderId="36" xfId="0" applyFill="1" applyBorder="1" applyAlignment="1">
      <alignment vertical="center"/>
    </xf>
    <xf numFmtId="0" fontId="36" fillId="37" borderId="65" xfId="0" applyFont="1" applyFill="1" applyBorder="1" applyAlignment="1" applyProtection="1">
      <alignment horizontal="left" vertical="center"/>
      <protection hidden="1"/>
    </xf>
    <xf numFmtId="0" fontId="36" fillId="37" borderId="10" xfId="0" applyFont="1" applyFill="1" applyBorder="1" applyAlignment="1" applyProtection="1">
      <alignment horizontal="left" vertical="center"/>
      <protection hidden="1"/>
    </xf>
    <xf numFmtId="0" fontId="36" fillId="37" borderId="25" xfId="0" applyFont="1" applyFill="1" applyBorder="1" applyAlignment="1" applyProtection="1">
      <alignment horizontal="left" vertical="center"/>
      <protection hidden="1"/>
    </xf>
    <xf numFmtId="1" fontId="36" fillId="34" borderId="93" xfId="0" applyNumberFormat="1" applyFont="1" applyFill="1" applyBorder="1" applyAlignment="1" applyProtection="1">
      <alignment horizontal="center" vertical="center"/>
      <protection hidden="1"/>
    </xf>
    <xf numFmtId="0" fontId="0" fillId="39" borderId="47" xfId="0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49" xfId="0" applyBorder="1" applyAlignment="1">
      <alignment/>
    </xf>
    <xf numFmtId="1" fontId="10" fillId="33" borderId="12" xfId="0" applyNumberFormat="1" applyFont="1" applyFill="1" applyBorder="1" applyAlignment="1" applyProtection="1">
      <alignment horizontal="center" vertical="center"/>
      <protection hidden="1"/>
    </xf>
    <xf numFmtId="1" fontId="10" fillId="0" borderId="16" xfId="0" applyNumberFormat="1" applyFont="1" applyFill="1" applyBorder="1" applyAlignment="1" applyProtection="1">
      <alignment horizontal="center" vertical="center"/>
      <protection hidden="1"/>
    </xf>
    <xf numFmtId="1" fontId="10" fillId="33" borderId="11" xfId="0" applyNumberFormat="1" applyFont="1" applyFill="1" applyBorder="1" applyAlignment="1" applyProtection="1">
      <alignment horizontal="center" vertical="center"/>
      <protection hidden="1"/>
    </xf>
    <xf numFmtId="0" fontId="10" fillId="33" borderId="17" xfId="0" applyFont="1" applyFill="1" applyBorder="1" applyAlignment="1" applyProtection="1">
      <alignment horizontal="centerContinuous" vertical="center"/>
      <protection hidden="1"/>
    </xf>
    <xf numFmtId="1" fontId="6" fillId="33" borderId="36" xfId="0" applyNumberFormat="1" applyFont="1" applyFill="1" applyBorder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1" fontId="10" fillId="0" borderId="21" xfId="0" applyNumberFormat="1" applyFont="1" applyFill="1" applyBorder="1" applyAlignment="1" applyProtection="1">
      <alignment horizontal="center" vertical="center"/>
      <protection hidden="1"/>
    </xf>
    <xf numFmtId="1" fontId="10" fillId="0" borderId="43" xfId="0" applyNumberFormat="1" applyFont="1" applyFill="1" applyBorder="1" applyAlignment="1" applyProtection="1">
      <alignment horizontal="center" vertical="center"/>
      <protection hidden="1"/>
    </xf>
    <xf numFmtId="1" fontId="10" fillId="0" borderId="10" xfId="0" applyNumberFormat="1" applyFont="1" applyFill="1" applyBorder="1" applyAlignment="1" applyProtection="1">
      <alignment vertical="center"/>
      <protection hidden="1"/>
    </xf>
    <xf numFmtId="0" fontId="17" fillId="33" borderId="0" xfId="35" applyFont="1" applyFill="1" applyBorder="1" applyAlignment="1" applyProtection="1">
      <alignment horizontal="center" vertical="center"/>
      <protection hidden="1"/>
    </xf>
    <xf numFmtId="0" fontId="119" fillId="39" borderId="0" xfId="0" applyFont="1" applyFill="1" applyBorder="1" applyAlignment="1">
      <alignment horizontal="center"/>
    </xf>
    <xf numFmtId="0" fontId="119" fillId="39" borderId="0" xfId="0" applyFont="1" applyFill="1" applyBorder="1" applyAlignment="1">
      <alignment horizontal="center" vertical="center"/>
    </xf>
    <xf numFmtId="0" fontId="119" fillId="0" borderId="61" xfId="0" applyFont="1" applyBorder="1" applyAlignment="1">
      <alignment horizontal="center" vertical="center"/>
    </xf>
    <xf numFmtId="0" fontId="119" fillId="0" borderId="60" xfId="0" applyFont="1" applyBorder="1" applyAlignment="1">
      <alignment horizontal="center" vertical="center"/>
    </xf>
    <xf numFmtId="0" fontId="119" fillId="0" borderId="61" xfId="0" applyNumberFormat="1" applyFont="1" applyBorder="1" applyAlignment="1">
      <alignment horizontal="center" vertical="center"/>
    </xf>
    <xf numFmtId="0" fontId="119" fillId="39" borderId="49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8" fillId="33" borderId="50" xfId="0" applyFont="1" applyFill="1" applyBorder="1" applyAlignment="1" applyProtection="1">
      <alignment horizontal="centerContinuous" vertical="center"/>
      <protection hidden="1"/>
    </xf>
    <xf numFmtId="1" fontId="9" fillId="0" borderId="94" xfId="0" applyNumberFormat="1" applyFont="1" applyFill="1" applyBorder="1" applyAlignment="1" applyProtection="1">
      <alignment horizontal="center" vertical="center"/>
      <protection hidden="1"/>
    </xf>
    <xf numFmtId="1" fontId="9" fillId="0" borderId="15" xfId="0" applyNumberFormat="1" applyFont="1" applyFill="1" applyBorder="1" applyAlignment="1" applyProtection="1">
      <alignment horizontal="centerContinuous" vertical="center"/>
      <protection hidden="1"/>
    </xf>
    <xf numFmtId="1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19" fillId="39" borderId="0" xfId="0" applyFont="1" applyFill="1" applyBorder="1" applyAlignment="1">
      <alignment horizontal="left"/>
    </xf>
    <xf numFmtId="1" fontId="10" fillId="0" borderId="27" xfId="0" applyNumberFormat="1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0" fontId="13" fillId="0" borderId="27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5" fillId="0" borderId="25" xfId="0" applyFont="1" applyFill="1" applyBorder="1" applyAlignment="1" applyProtection="1">
      <alignment horizontal="left" vertical="center"/>
      <protection hidden="1"/>
    </xf>
    <xf numFmtId="1" fontId="6" fillId="33" borderId="49" xfId="0" applyNumberFormat="1" applyFont="1" applyFill="1" applyBorder="1" applyAlignment="1" applyProtection="1">
      <alignment horizontal="center" vertical="center"/>
      <protection hidden="1"/>
    </xf>
    <xf numFmtId="1" fontId="6" fillId="33" borderId="95" xfId="0" applyNumberFormat="1" applyFont="1" applyFill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21" fillId="0" borderId="10" xfId="0" applyFont="1" applyFill="1" applyBorder="1" applyAlignment="1" applyProtection="1">
      <alignment horizontal="left" vertical="center"/>
      <protection hidden="1"/>
    </xf>
    <xf numFmtId="0" fontId="21" fillId="0" borderId="25" xfId="0" applyFont="1" applyFill="1" applyBorder="1" applyAlignment="1" applyProtection="1">
      <alignment horizontal="left" vertical="center"/>
      <protection hidden="1"/>
    </xf>
    <xf numFmtId="1" fontId="10" fillId="33" borderId="43" xfId="0" applyNumberFormat="1" applyFont="1" applyFill="1" applyBorder="1" applyAlignment="1" applyProtection="1">
      <alignment horizontal="center" vertical="center"/>
      <protection hidden="1"/>
    </xf>
    <xf numFmtId="1" fontId="10" fillId="0" borderId="40" xfId="0" applyNumberFormat="1" applyFont="1" applyBorder="1" applyAlignment="1" applyProtection="1">
      <alignment horizontal="center" vertical="center"/>
      <protection hidden="1"/>
    </xf>
    <xf numFmtId="1" fontId="6" fillId="0" borderId="16" xfId="0" applyNumberFormat="1" applyFont="1" applyFill="1" applyBorder="1" applyAlignment="1" applyProtection="1">
      <alignment horizontal="left" vertical="center"/>
      <protection hidden="1"/>
    </xf>
    <xf numFmtId="1" fontId="10" fillId="0" borderId="18" xfId="0" applyNumberFormat="1" applyFont="1" applyFill="1" applyBorder="1" applyAlignment="1" applyProtection="1">
      <alignment horizontal="center" vertical="center"/>
      <protection hidden="1"/>
    </xf>
    <xf numFmtId="1" fontId="10" fillId="0" borderId="16" xfId="0" applyNumberFormat="1" applyFont="1" applyFill="1" applyBorder="1" applyAlignment="1" applyProtection="1">
      <alignment vertical="center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1" fontId="9" fillId="0" borderId="23" xfId="0" applyNumberFormat="1" applyFont="1" applyFill="1" applyBorder="1" applyAlignment="1" applyProtection="1">
      <alignment horizontal="center" vertical="center"/>
      <protection hidden="1"/>
    </xf>
    <xf numFmtId="1" fontId="9" fillId="0" borderId="15" xfId="0" applyNumberFormat="1" applyFont="1" applyFill="1" applyBorder="1" applyAlignment="1" applyProtection="1">
      <alignment horizontal="center" vertical="center"/>
      <protection hidden="1"/>
    </xf>
    <xf numFmtId="1" fontId="6" fillId="33" borderId="94" xfId="0" applyNumberFormat="1" applyFont="1" applyFill="1" applyBorder="1" applyAlignment="1" applyProtection="1">
      <alignment horizontal="center" vertical="center"/>
      <protection hidden="1"/>
    </xf>
    <xf numFmtId="1" fontId="6" fillId="33" borderId="15" xfId="0" applyNumberFormat="1" applyFont="1" applyFill="1" applyBorder="1" applyAlignment="1" applyProtection="1">
      <alignment horizontal="centerContinuous" vertical="center"/>
      <protection hidden="1"/>
    </xf>
    <xf numFmtId="1" fontId="6" fillId="33" borderId="19" xfId="0" applyNumberFormat="1" applyFont="1" applyFill="1" applyBorder="1" applyAlignment="1" applyProtection="1">
      <alignment horizontal="center" vertical="center"/>
      <protection hidden="1"/>
    </xf>
    <xf numFmtId="0" fontId="5" fillId="0" borderId="30" xfId="0" applyFont="1" applyFill="1" applyBorder="1" applyAlignment="1" applyProtection="1">
      <alignment horizontal="center"/>
      <protection hidden="1"/>
    </xf>
    <xf numFmtId="0" fontId="5" fillId="0" borderId="22" xfId="0" applyFont="1" applyFill="1" applyBorder="1" applyAlignment="1" applyProtection="1">
      <alignment horizontal="center"/>
      <protection hidden="1"/>
    </xf>
    <xf numFmtId="0" fontId="5" fillId="0" borderId="31" xfId="0" applyFont="1" applyFill="1" applyBorder="1" applyAlignment="1" applyProtection="1">
      <alignment horizontal="center"/>
      <protection hidden="1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23" xfId="0" applyFont="1" applyFill="1" applyBorder="1" applyAlignment="1" applyProtection="1">
      <alignment horizontal="center" vertical="center"/>
      <protection hidden="1"/>
    </xf>
    <xf numFmtId="0" fontId="21" fillId="0" borderId="10" xfId="0" applyFont="1" applyFill="1" applyBorder="1" applyAlignment="1" applyProtection="1">
      <alignment horizontal="left" vertical="center"/>
      <protection hidden="1"/>
    </xf>
    <xf numFmtId="0" fontId="123" fillId="33" borderId="0" xfId="0" applyFont="1" applyFill="1" applyBorder="1" applyAlignment="1" applyProtection="1">
      <alignment horizontal="left" vertical="center"/>
      <protection hidden="1"/>
    </xf>
    <xf numFmtId="0" fontId="124" fillId="33" borderId="0" xfId="0" applyFont="1" applyFill="1" applyBorder="1" applyAlignment="1" applyProtection="1">
      <alignment horizontal="left" vertical="center"/>
      <protection hidden="1"/>
    </xf>
    <xf numFmtId="0" fontId="125" fillId="33" borderId="0" xfId="0" applyFont="1" applyFill="1" applyBorder="1" applyAlignment="1" applyProtection="1">
      <alignment horizontal="left" vertical="center"/>
      <protection hidden="1"/>
    </xf>
    <xf numFmtId="0" fontId="125" fillId="33" borderId="0" xfId="0" applyFont="1" applyFill="1" applyBorder="1" applyAlignment="1" applyProtection="1" quotePrefix="1">
      <alignment horizontal="left" vertical="center"/>
      <protection hidden="1"/>
    </xf>
    <xf numFmtId="0" fontId="126" fillId="33" borderId="0" xfId="0" applyFont="1" applyFill="1" applyBorder="1" applyAlignment="1" applyProtection="1">
      <alignment horizontal="left" vertical="center"/>
      <protection hidden="1"/>
    </xf>
    <xf numFmtId="0" fontId="126" fillId="33" borderId="0" xfId="0" applyFont="1" applyFill="1" applyBorder="1" applyAlignment="1" applyProtection="1">
      <alignment horizontal="center" vertical="center"/>
      <protection hidden="1"/>
    </xf>
    <xf numFmtId="0" fontId="123" fillId="33" borderId="0" xfId="0" applyFont="1" applyFill="1" applyBorder="1" applyAlignment="1" applyProtection="1">
      <alignment vertical="center" wrapText="1"/>
      <protection hidden="1"/>
    </xf>
    <xf numFmtId="0" fontId="10" fillId="33" borderId="64" xfId="0" applyFont="1" applyFill="1" applyBorder="1" applyAlignment="1" applyProtection="1" quotePrefix="1">
      <alignment horizontal="center" vertical="center"/>
      <protection hidden="1"/>
    </xf>
    <xf numFmtId="0" fontId="11" fillId="33" borderId="10" xfId="0" applyFont="1" applyFill="1" applyBorder="1" applyAlignment="1" applyProtection="1">
      <alignment vertical="center" wrapText="1"/>
      <protection hidden="1"/>
    </xf>
    <xf numFmtId="0" fontId="17" fillId="33" borderId="29" xfId="0" applyFont="1" applyFill="1" applyBorder="1" applyAlignment="1" applyProtection="1" quotePrefix="1">
      <alignment vertical="center" wrapText="1"/>
      <protection hidden="1"/>
    </xf>
    <xf numFmtId="0" fontId="17" fillId="33" borderId="17" xfId="0" applyFont="1" applyFill="1" applyBorder="1" applyAlignment="1" applyProtection="1" quotePrefix="1">
      <alignment vertical="center" wrapText="1"/>
      <protection hidden="1"/>
    </xf>
    <xf numFmtId="0" fontId="17" fillId="33" borderId="10" xfId="0" applyFont="1" applyFill="1" applyBorder="1" applyAlignment="1" applyProtection="1" quotePrefix="1">
      <alignment vertical="center" wrapText="1"/>
      <protection hidden="1"/>
    </xf>
    <xf numFmtId="0" fontId="10" fillId="33" borderId="15" xfId="0" applyFont="1" applyFill="1" applyBorder="1" applyAlignment="1" applyProtection="1">
      <alignment vertical="center"/>
      <protection hidden="1"/>
    </xf>
    <xf numFmtId="0" fontId="5" fillId="33" borderId="18" xfId="0" applyFont="1" applyFill="1" applyBorder="1" applyAlignment="1" applyProtection="1">
      <alignment vertical="center"/>
      <protection hidden="1"/>
    </xf>
    <xf numFmtId="0" fontId="119" fillId="0" borderId="32" xfId="0" applyFont="1" applyBorder="1" applyAlignment="1">
      <alignment horizontal="center"/>
    </xf>
    <xf numFmtId="0" fontId="119" fillId="0" borderId="38" xfId="0" applyFont="1" applyBorder="1" applyAlignment="1">
      <alignment horizontal="center"/>
    </xf>
    <xf numFmtId="0" fontId="119" fillId="0" borderId="36" xfId="0" applyFont="1" applyBorder="1" applyAlignment="1">
      <alignment horizontal="center"/>
    </xf>
    <xf numFmtId="0" fontId="119" fillId="33" borderId="35" xfId="0" applyFont="1" applyFill="1" applyBorder="1" applyAlignment="1" applyProtection="1">
      <alignment horizontal="center" vertical="center"/>
      <protection hidden="1"/>
    </xf>
    <xf numFmtId="0" fontId="119" fillId="33" borderId="0" xfId="0" applyFont="1" applyFill="1" applyBorder="1" applyAlignment="1" applyProtection="1">
      <alignment horizontal="center" vertical="center"/>
      <protection hidden="1"/>
    </xf>
    <xf numFmtId="0" fontId="119" fillId="39" borderId="35" xfId="0" applyFont="1" applyFill="1" applyBorder="1" applyAlignment="1" applyProtection="1">
      <alignment horizontal="center" vertical="center"/>
      <protection hidden="1"/>
    </xf>
    <xf numFmtId="0" fontId="127" fillId="0" borderId="96" xfId="0" applyFont="1" applyBorder="1" applyAlignment="1">
      <alignment horizontal="center" vertical="center" wrapText="1"/>
    </xf>
    <xf numFmtId="0" fontId="119" fillId="0" borderId="19" xfId="0" applyFont="1" applyBorder="1" applyAlignment="1">
      <alignment horizontal="center" vertical="center"/>
    </xf>
    <xf numFmtId="1" fontId="36" fillId="34" borderId="97" xfId="0" applyNumberFormat="1" applyFont="1" applyFill="1" applyBorder="1" applyAlignment="1" applyProtection="1">
      <alignment horizontal="center" vertical="center"/>
      <protection hidden="1"/>
    </xf>
    <xf numFmtId="0" fontId="119" fillId="0" borderId="69" xfId="0" applyFont="1" applyBorder="1" applyAlignment="1">
      <alignment horizontal="center" vertical="center"/>
    </xf>
    <xf numFmtId="1" fontId="36" fillId="34" borderId="98" xfId="0" applyNumberFormat="1" applyFont="1" applyFill="1" applyBorder="1" applyAlignment="1" applyProtection="1">
      <alignment horizontal="center" vertical="center"/>
      <protection hidden="1"/>
    </xf>
    <xf numFmtId="1" fontId="9" fillId="34" borderId="99" xfId="0" applyNumberFormat="1" applyFont="1" applyFill="1" applyBorder="1" applyAlignment="1" applyProtection="1">
      <alignment horizontal="center" vertical="center"/>
      <protection hidden="1"/>
    </xf>
    <xf numFmtId="1" fontId="9" fillId="34" borderId="56" xfId="0" applyNumberFormat="1" applyFont="1" applyFill="1" applyBorder="1" applyAlignment="1" applyProtection="1">
      <alignment horizontal="center" vertical="center"/>
      <protection hidden="1"/>
    </xf>
    <xf numFmtId="1" fontId="9" fillId="0" borderId="33" xfId="0" applyNumberFormat="1" applyFont="1" applyFill="1" applyBorder="1" applyAlignment="1" applyProtection="1">
      <alignment horizontal="center" vertical="center"/>
      <protection hidden="1"/>
    </xf>
    <xf numFmtId="1" fontId="9" fillId="0" borderId="53" xfId="0" applyNumberFormat="1" applyFont="1" applyFill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0" fillId="0" borderId="0" xfId="0" applyFont="1" applyBorder="1" applyAlignment="1" applyProtection="1">
      <alignment horizontal="left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1" fontId="10" fillId="33" borderId="87" xfId="0" applyNumberFormat="1" applyFont="1" applyFill="1" applyBorder="1" applyAlignment="1" applyProtection="1">
      <alignment horizontal="center" vertical="center"/>
      <protection hidden="1"/>
    </xf>
    <xf numFmtId="1" fontId="10" fillId="34" borderId="51" xfId="0" applyNumberFormat="1" applyFont="1" applyFill="1" applyBorder="1" applyAlignment="1" applyProtection="1">
      <alignment horizontal="center" vertical="center"/>
      <protection hidden="1"/>
    </xf>
    <xf numFmtId="0" fontId="10" fillId="33" borderId="100" xfId="0" applyFont="1" applyFill="1" applyBorder="1" applyAlignment="1" applyProtection="1">
      <alignment/>
      <protection hidden="1"/>
    </xf>
    <xf numFmtId="0" fontId="0" fillId="33" borderId="100" xfId="0" applyFill="1" applyBorder="1" applyAlignment="1" applyProtection="1">
      <alignment/>
      <protection hidden="1"/>
    </xf>
    <xf numFmtId="0" fontId="8" fillId="33" borderId="55" xfId="0" applyFont="1" applyFill="1" applyBorder="1" applyAlignment="1" applyProtection="1" quotePrefix="1">
      <alignment horizontal="center" vertical="center"/>
      <protection hidden="1"/>
    </xf>
    <xf numFmtId="0" fontId="5" fillId="33" borderId="55" xfId="0" applyFont="1" applyFill="1" applyBorder="1" applyAlignment="1" applyProtection="1">
      <alignment horizontal="right" vertical="center"/>
      <protection hidden="1"/>
    </xf>
    <xf numFmtId="0" fontId="0" fillId="33" borderId="55" xfId="0" applyFill="1" applyBorder="1" applyAlignment="1">
      <alignment/>
    </xf>
    <xf numFmtId="0" fontId="6" fillId="0" borderId="25" xfId="0" applyFont="1" applyFill="1" applyBorder="1" applyAlignment="1" applyProtection="1">
      <alignment horizontal="left" vertical="center"/>
      <protection hidden="1"/>
    </xf>
    <xf numFmtId="1" fontId="9" fillId="34" borderId="21" xfId="0" applyNumberFormat="1" applyFont="1" applyFill="1" applyBorder="1" applyAlignment="1" applyProtection="1">
      <alignment horizontal="center" vertical="center"/>
      <protection hidden="1"/>
    </xf>
    <xf numFmtId="1" fontId="9" fillId="0" borderId="21" xfId="0" applyNumberFormat="1" applyFont="1" applyFill="1" applyBorder="1" applyAlignment="1" applyProtection="1">
      <alignment horizontal="center" vertical="center"/>
      <protection hidden="1"/>
    </xf>
    <xf numFmtId="1" fontId="9" fillId="34" borderId="51" xfId="0" applyNumberFormat="1" applyFont="1" applyFill="1" applyBorder="1" applyAlignment="1" applyProtection="1">
      <alignment horizontal="center" vertical="center"/>
      <protection hidden="1"/>
    </xf>
    <xf numFmtId="1" fontId="10" fillId="0" borderId="21" xfId="0" applyNumberFormat="1" applyFont="1" applyBorder="1" applyAlignment="1" applyProtection="1">
      <alignment horizontal="center" vertical="center"/>
      <protection hidden="1"/>
    </xf>
    <xf numFmtId="49" fontId="5" fillId="33" borderId="49" xfId="0" applyNumberFormat="1" applyFont="1" applyFill="1" applyBorder="1" applyAlignment="1" applyProtection="1">
      <alignment vertical="center"/>
      <protection hidden="1"/>
    </xf>
    <xf numFmtId="49" fontId="5" fillId="33" borderId="55" xfId="0" applyNumberFormat="1" applyFont="1" applyFill="1" applyBorder="1" applyAlignment="1" applyProtection="1">
      <alignment vertical="center"/>
      <protection hidden="1"/>
    </xf>
    <xf numFmtId="49" fontId="8" fillId="33" borderId="49" xfId="0" applyNumberFormat="1" applyFont="1" applyFill="1" applyBorder="1" applyAlignment="1" applyProtection="1">
      <alignment horizontal="center" vertical="center"/>
      <protection hidden="1"/>
    </xf>
    <xf numFmtId="49" fontId="5" fillId="33" borderId="49" xfId="0" applyNumberFormat="1" applyFont="1" applyFill="1" applyBorder="1" applyAlignment="1" applyProtection="1">
      <alignment horizontal="center" vertical="center"/>
      <protection hidden="1"/>
    </xf>
    <xf numFmtId="49" fontId="5" fillId="33" borderId="49" xfId="0" applyNumberFormat="1" applyFont="1" applyFill="1" applyBorder="1" applyAlignment="1" applyProtection="1">
      <alignment horizontal="right" vertical="center"/>
      <protection hidden="1"/>
    </xf>
    <xf numFmtId="49" fontId="8" fillId="33" borderId="49" xfId="0" applyNumberFormat="1" applyFont="1" applyFill="1" applyBorder="1" applyAlignment="1" applyProtection="1" quotePrefix="1">
      <alignment horizontal="center" vertical="center"/>
      <protection hidden="1"/>
    </xf>
    <xf numFmtId="49" fontId="5" fillId="33" borderId="55" xfId="0" applyNumberFormat="1" applyFont="1" applyFill="1" applyBorder="1" applyAlignment="1" applyProtection="1">
      <alignment horizontal="right" vertical="center"/>
      <protection hidden="1"/>
    </xf>
    <xf numFmtId="49" fontId="8" fillId="33" borderId="55" xfId="0" applyNumberFormat="1" applyFont="1" applyFill="1" applyBorder="1" applyAlignment="1" applyProtection="1" quotePrefix="1">
      <alignment horizontal="center" vertical="center"/>
      <protection hidden="1"/>
    </xf>
    <xf numFmtId="49" fontId="0" fillId="33" borderId="101" xfId="0" applyNumberFormat="1" applyFill="1" applyBorder="1" applyAlignment="1" applyProtection="1">
      <alignment vertical="center"/>
      <protection hidden="1"/>
    </xf>
    <xf numFmtId="0" fontId="10" fillId="33" borderId="23" xfId="0" applyFont="1" applyFill="1" applyBorder="1" applyAlignment="1" applyProtection="1">
      <alignment horizontal="centerContinuous" vertical="center"/>
      <protection hidden="1"/>
    </xf>
    <xf numFmtId="49" fontId="6" fillId="33" borderId="36" xfId="0" applyNumberFormat="1" applyFont="1" applyFill="1" applyBorder="1" applyAlignment="1" applyProtection="1">
      <alignment horizontal="centerContinuous" vertical="center"/>
      <protection hidden="1"/>
    </xf>
    <xf numFmtId="0" fontId="10" fillId="33" borderId="102" xfId="0" applyFont="1" applyFill="1" applyBorder="1" applyAlignment="1" applyProtection="1">
      <alignment horizontal="centerContinuous" vertical="center"/>
      <protection hidden="1"/>
    </xf>
    <xf numFmtId="49" fontId="0" fillId="0" borderId="0" xfId="0" applyNumberFormat="1" applyBorder="1" applyAlignment="1">
      <alignment/>
    </xf>
    <xf numFmtId="49" fontId="6" fillId="34" borderId="99" xfId="0" applyNumberFormat="1" applyFont="1" applyFill="1" applyBorder="1" applyAlignment="1" applyProtection="1">
      <alignment horizontal="center" vertical="center"/>
      <protection hidden="1"/>
    </xf>
    <xf numFmtId="49" fontId="6" fillId="34" borderId="80" xfId="0" applyNumberFormat="1" applyFont="1" applyFill="1" applyBorder="1" applyAlignment="1" applyProtection="1">
      <alignment horizontal="center" vertical="center"/>
      <protection hidden="1"/>
    </xf>
    <xf numFmtId="0" fontId="5" fillId="33" borderId="28" xfId="0" applyFont="1" applyFill="1" applyBorder="1" applyAlignment="1" applyProtection="1">
      <alignment vertical="center"/>
      <protection hidden="1"/>
    </xf>
    <xf numFmtId="0" fontId="0" fillId="0" borderId="35" xfId="0" applyBorder="1" applyAlignment="1">
      <alignment/>
    </xf>
    <xf numFmtId="0" fontId="121" fillId="0" borderId="103" xfId="0" applyFont="1" applyBorder="1" applyAlignment="1">
      <alignment horizontal="center"/>
    </xf>
    <xf numFmtId="0" fontId="121" fillId="0" borderId="104" xfId="0" applyFont="1" applyBorder="1" applyAlignment="1">
      <alignment horizontal="center"/>
    </xf>
    <xf numFmtId="0" fontId="119" fillId="0" borderId="99" xfId="0" applyFont="1" applyBorder="1" applyAlignment="1">
      <alignment horizontal="center"/>
    </xf>
    <xf numFmtId="0" fontId="119" fillId="0" borderId="18" xfId="0" applyFont="1" applyBorder="1" applyAlignment="1">
      <alignment horizontal="center"/>
    </xf>
    <xf numFmtId="0" fontId="119" fillId="0" borderId="52" xfId="0" applyFont="1" applyFill="1" applyBorder="1" applyAlignment="1">
      <alignment horizontal="center"/>
    </xf>
    <xf numFmtId="0" fontId="119" fillId="0" borderId="16" xfId="0" applyFont="1" applyBorder="1" applyAlignment="1">
      <alignment horizontal="center"/>
    </xf>
    <xf numFmtId="0" fontId="121" fillId="0" borderId="105" xfId="0" applyFont="1" applyBorder="1" applyAlignment="1">
      <alignment horizontal="center"/>
    </xf>
    <xf numFmtId="0" fontId="121" fillId="0" borderId="32" xfId="0" applyFont="1" applyBorder="1" applyAlignment="1">
      <alignment horizontal="center"/>
    </xf>
    <xf numFmtId="0" fontId="121" fillId="0" borderId="106" xfId="0" applyFont="1" applyBorder="1" applyAlignment="1">
      <alignment horizontal="center"/>
    </xf>
    <xf numFmtId="0" fontId="119" fillId="0" borderId="107" xfId="0" applyFont="1" applyBorder="1" applyAlignment="1">
      <alignment horizontal="center"/>
    </xf>
    <xf numFmtId="0" fontId="119" fillId="0" borderId="108" xfId="0" applyFont="1" applyBorder="1" applyAlignment="1">
      <alignment horizontal="center"/>
    </xf>
    <xf numFmtId="0" fontId="119" fillId="0" borderId="24" xfId="0" applyFont="1" applyBorder="1" applyAlignment="1">
      <alignment horizontal="center"/>
    </xf>
    <xf numFmtId="0" fontId="119" fillId="0" borderId="21" xfId="0" applyFont="1" applyBorder="1" applyAlignment="1">
      <alignment horizontal="center"/>
    </xf>
    <xf numFmtId="0" fontId="119" fillId="0" borderId="109" xfId="0" applyFont="1" applyBorder="1" applyAlignment="1">
      <alignment horizontal="center"/>
    </xf>
    <xf numFmtId="0" fontId="119" fillId="0" borderId="40" xfId="0" applyFont="1" applyBorder="1" applyAlignment="1">
      <alignment horizontal="center"/>
    </xf>
    <xf numFmtId="0" fontId="119" fillId="0" borderId="64" xfId="0" applyFont="1" applyBorder="1" applyAlignment="1">
      <alignment horizontal="center"/>
    </xf>
    <xf numFmtId="0" fontId="119" fillId="0" borderId="110" xfId="0" applyFont="1" applyBorder="1" applyAlignment="1">
      <alignment horizontal="center"/>
    </xf>
    <xf numFmtId="0" fontId="119" fillId="0" borderId="10" xfId="0" applyFont="1" applyBorder="1" applyAlignment="1">
      <alignment horizontal="center"/>
    </xf>
    <xf numFmtId="0" fontId="119" fillId="0" borderId="105" xfId="0" applyFont="1" applyBorder="1" applyAlignment="1">
      <alignment horizontal="center"/>
    </xf>
    <xf numFmtId="0" fontId="119" fillId="39" borderId="99" xfId="0" applyFont="1" applyFill="1" applyBorder="1" applyAlignment="1">
      <alignment horizontal="center"/>
    </xf>
    <xf numFmtId="0" fontId="119" fillId="0" borderId="20" xfId="0" applyFont="1" applyBorder="1" applyAlignment="1">
      <alignment horizontal="center"/>
    </xf>
    <xf numFmtId="0" fontId="119" fillId="39" borderId="111" xfId="0" applyFont="1" applyFill="1" applyBorder="1" applyAlignment="1">
      <alignment horizontal="center"/>
    </xf>
    <xf numFmtId="0" fontId="119" fillId="0" borderId="58" xfId="0" applyFont="1" applyBorder="1" applyAlignment="1">
      <alignment horizontal="center"/>
    </xf>
    <xf numFmtId="49" fontId="119" fillId="0" borderId="112" xfId="0" applyNumberFormat="1" applyFont="1" applyBorder="1" applyAlignment="1">
      <alignment horizontal="center"/>
    </xf>
    <xf numFmtId="49" fontId="119" fillId="0" borderId="17" xfId="0" applyNumberFormat="1" applyFont="1" applyBorder="1" applyAlignment="1">
      <alignment horizontal="center"/>
    </xf>
    <xf numFmtId="0" fontId="119" fillId="0" borderId="113" xfId="0" applyFont="1" applyBorder="1" applyAlignment="1">
      <alignment horizontal="center"/>
    </xf>
    <xf numFmtId="0" fontId="119" fillId="0" borderId="114" xfId="0" applyFont="1" applyBorder="1" applyAlignment="1">
      <alignment horizontal="center"/>
    </xf>
    <xf numFmtId="49" fontId="119" fillId="0" borderId="21" xfId="0" applyNumberFormat="1" applyFont="1" applyBorder="1" applyAlignment="1">
      <alignment horizontal="center"/>
    </xf>
    <xf numFmtId="49" fontId="119" fillId="0" borderId="16" xfId="0" applyNumberFormat="1" applyFont="1" applyBorder="1" applyAlignment="1">
      <alignment horizontal="center"/>
    </xf>
    <xf numFmtId="0" fontId="119" fillId="0" borderId="59" xfId="0" applyFont="1" applyBorder="1" applyAlignment="1">
      <alignment horizontal="center"/>
    </xf>
    <xf numFmtId="0" fontId="119" fillId="0" borderId="115" xfId="0" applyFont="1" applyBorder="1" applyAlignment="1">
      <alignment horizontal="center"/>
    </xf>
    <xf numFmtId="49" fontId="119" fillId="0" borderId="40" xfId="0" applyNumberFormat="1" applyFont="1" applyBorder="1" applyAlignment="1">
      <alignment horizontal="center"/>
    </xf>
    <xf numFmtId="0" fontId="119" fillId="0" borderId="116" xfId="0" applyFont="1" applyBorder="1" applyAlignment="1">
      <alignment horizontal="center"/>
    </xf>
    <xf numFmtId="0" fontId="119" fillId="39" borderId="117" xfId="0" applyFont="1" applyFill="1" applyBorder="1" applyAlignment="1">
      <alignment horizontal="center"/>
    </xf>
    <xf numFmtId="0" fontId="119" fillId="0" borderId="118" xfId="0" applyFont="1" applyBorder="1" applyAlignment="1">
      <alignment horizontal="center"/>
    </xf>
    <xf numFmtId="0" fontId="119" fillId="0" borderId="43" xfId="0" applyFont="1" applyBorder="1" applyAlignment="1">
      <alignment horizontal="center"/>
    </xf>
    <xf numFmtId="49" fontId="119" fillId="0" borderId="52" xfId="0" applyNumberFormat="1" applyFont="1" applyBorder="1" applyAlignment="1">
      <alignment horizontal="center"/>
    </xf>
    <xf numFmtId="0" fontId="119" fillId="39" borderId="109" xfId="0" applyFont="1" applyFill="1" applyBorder="1" applyAlignment="1">
      <alignment horizontal="center"/>
    </xf>
    <xf numFmtId="49" fontId="119" fillId="0" borderId="119" xfId="0" applyNumberFormat="1" applyFont="1" applyBorder="1" applyAlignment="1">
      <alignment horizontal="center"/>
    </xf>
    <xf numFmtId="0" fontId="119" fillId="0" borderId="120" xfId="0" applyFont="1" applyBorder="1" applyAlignment="1">
      <alignment horizontal="center"/>
    </xf>
    <xf numFmtId="49" fontId="119" fillId="0" borderId="18" xfId="0" applyNumberFormat="1" applyFont="1" applyBorder="1" applyAlignment="1">
      <alignment horizontal="center"/>
    </xf>
    <xf numFmtId="49" fontId="119" fillId="0" borderId="11" xfId="0" applyNumberFormat="1" applyFont="1" applyBorder="1" applyAlignment="1">
      <alignment horizontal="center"/>
    </xf>
    <xf numFmtId="0" fontId="119" fillId="39" borderId="87" xfId="0" applyFont="1" applyFill="1" applyBorder="1" applyAlignment="1">
      <alignment horizontal="center"/>
    </xf>
    <xf numFmtId="0" fontId="119" fillId="39" borderId="39" xfId="0" applyFont="1" applyFill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127" fillId="0" borderId="121" xfId="0" applyFont="1" applyBorder="1" applyAlignment="1">
      <alignment horizontal="left" vertical="center" wrapText="1"/>
    </xf>
    <xf numFmtId="0" fontId="0" fillId="0" borderId="121" xfId="0" applyBorder="1" applyAlignment="1">
      <alignment horizontal="left" vertical="center" wrapText="1"/>
    </xf>
    <xf numFmtId="0" fontId="127" fillId="0" borderId="122" xfId="0" applyFont="1" applyBorder="1" applyAlignment="1">
      <alignment horizontal="left" vertical="center" wrapText="1"/>
    </xf>
    <xf numFmtId="0" fontId="127" fillId="0" borderId="123" xfId="0" applyFont="1" applyBorder="1" applyAlignment="1">
      <alignment horizontal="center" vertical="center" wrapText="1"/>
    </xf>
    <xf numFmtId="0" fontId="0" fillId="40" borderId="61" xfId="0" applyFill="1" applyBorder="1" applyAlignment="1">
      <alignment horizontal="center" vertical="center"/>
    </xf>
    <xf numFmtId="0" fontId="0" fillId="40" borderId="98" xfId="0" applyFill="1" applyBorder="1" applyAlignment="1">
      <alignment horizontal="center" vertical="center"/>
    </xf>
    <xf numFmtId="0" fontId="2" fillId="40" borderId="59" xfId="0" applyFont="1" applyFill="1" applyBorder="1" applyAlignment="1" applyProtection="1">
      <alignment vertical="center"/>
      <protection hidden="1"/>
    </xf>
    <xf numFmtId="0" fontId="128" fillId="40" borderId="59" xfId="0" applyFont="1" applyFill="1" applyBorder="1" applyAlignment="1" applyProtection="1">
      <alignment horizontal="left" vertical="center"/>
      <protection hidden="1"/>
    </xf>
    <xf numFmtId="0" fontId="129" fillId="40" borderId="0" xfId="45" applyFont="1" applyFill="1" applyBorder="1" applyAlignment="1" applyProtection="1">
      <alignment vertical="center"/>
      <protection hidden="1"/>
    </xf>
    <xf numFmtId="0" fontId="51" fillId="40" borderId="58" xfId="0" applyFont="1" applyFill="1" applyBorder="1" applyAlignment="1" applyProtection="1" quotePrefix="1">
      <alignment horizontal="center" vertical="center"/>
      <protection hidden="1"/>
    </xf>
    <xf numFmtId="0" fontId="119" fillId="40" borderId="59" xfId="0" applyFont="1" applyFill="1" applyBorder="1" applyAlignment="1">
      <alignment horizontal="center" vertical="center"/>
    </xf>
    <xf numFmtId="0" fontId="25" fillId="40" borderId="59" xfId="0" applyFont="1" applyFill="1" applyBorder="1" applyAlignment="1" applyProtection="1">
      <alignment horizontal="left" vertical="center"/>
      <protection hidden="1"/>
    </xf>
    <xf numFmtId="0" fontId="52" fillId="40" borderId="59" xfId="0" applyFont="1" applyFill="1" applyBorder="1" applyAlignment="1">
      <alignment horizontal="center" vertical="center"/>
    </xf>
    <xf numFmtId="0" fontId="119" fillId="40" borderId="0" xfId="0" applyFont="1" applyFill="1" applyBorder="1" applyAlignment="1">
      <alignment horizontal="center" vertical="center"/>
    </xf>
    <xf numFmtId="0" fontId="51" fillId="40" borderId="124" xfId="0" applyFont="1" applyFill="1" applyBorder="1" applyAlignment="1" applyProtection="1" quotePrefix="1">
      <alignment horizontal="center" vertical="center"/>
      <protection hidden="1"/>
    </xf>
    <xf numFmtId="0" fontId="51" fillId="40" borderId="33" xfId="0" applyFont="1" applyFill="1" applyBorder="1" applyAlignment="1" applyProtection="1" quotePrefix="1">
      <alignment horizontal="center" vertical="center"/>
      <protection hidden="1"/>
    </xf>
    <xf numFmtId="0" fontId="53" fillId="40" borderId="35" xfId="0" applyFont="1" applyFill="1" applyBorder="1" applyAlignment="1">
      <alignment horizontal="center" vertical="center"/>
    </xf>
    <xf numFmtId="0" fontId="53" fillId="40" borderId="69" xfId="0" applyFont="1" applyFill="1" applyBorder="1" applyAlignment="1">
      <alignment horizontal="center" vertical="center"/>
    </xf>
    <xf numFmtId="17" fontId="53" fillId="40" borderId="69" xfId="0" applyNumberFormat="1" applyFont="1" applyFill="1" applyBorder="1" applyAlignment="1">
      <alignment horizontal="center" vertical="center"/>
    </xf>
    <xf numFmtId="0" fontId="55" fillId="40" borderId="35" xfId="0" applyFont="1" applyFill="1" applyBorder="1" applyAlignment="1" applyProtection="1">
      <alignment horizontal="center" vertical="center"/>
      <protection hidden="1"/>
    </xf>
    <xf numFmtId="0" fontId="53" fillId="40" borderId="69" xfId="0" applyFont="1" applyFill="1" applyBorder="1" applyAlignment="1" applyProtection="1">
      <alignment horizontal="center" vertical="center"/>
      <protection hidden="1"/>
    </xf>
    <xf numFmtId="0" fontId="55" fillId="40" borderId="69" xfId="0" applyFont="1" applyFill="1" applyBorder="1" applyAlignment="1">
      <alignment horizontal="center" vertical="center"/>
    </xf>
    <xf numFmtId="0" fontId="55" fillId="40" borderId="69" xfId="0" applyFont="1" applyFill="1" applyBorder="1" applyAlignment="1" applyProtection="1">
      <alignment horizontal="center" vertical="center"/>
      <protection hidden="1"/>
    </xf>
    <xf numFmtId="0" fontId="55" fillId="40" borderId="70" xfId="0" applyFont="1" applyFill="1" applyBorder="1" applyAlignment="1" applyProtection="1">
      <alignment horizontal="center" vertical="center"/>
      <protection hidden="1"/>
    </xf>
    <xf numFmtId="0" fontId="51" fillId="40" borderId="35" xfId="0" applyFont="1" applyFill="1" applyBorder="1" applyAlignment="1" applyProtection="1" quotePrefix="1">
      <alignment horizontal="center" vertical="center"/>
      <protection hidden="1"/>
    </xf>
    <xf numFmtId="0" fontId="53" fillId="40" borderId="0" xfId="0" applyFont="1" applyFill="1" applyBorder="1" applyAlignment="1" applyProtection="1">
      <alignment vertical="center"/>
      <protection hidden="1"/>
    </xf>
    <xf numFmtId="0" fontId="90" fillId="40" borderId="0" xfId="0" applyFont="1" applyFill="1" applyBorder="1" applyAlignment="1" applyProtection="1">
      <alignment vertical="center"/>
      <protection hidden="1"/>
    </xf>
    <xf numFmtId="0" fontId="36" fillId="40" borderId="0" xfId="0" applyFont="1" applyFill="1" applyBorder="1" applyAlignment="1">
      <alignment horizontal="left" vertical="center"/>
    </xf>
    <xf numFmtId="0" fontId="119" fillId="40" borderId="125" xfId="0" applyFont="1" applyFill="1" applyBorder="1" applyAlignment="1">
      <alignment horizontal="center" vertical="center"/>
    </xf>
    <xf numFmtId="0" fontId="119" fillId="40" borderId="36" xfId="0" applyFont="1" applyFill="1" applyBorder="1" applyAlignment="1">
      <alignment horizontal="center" vertical="center"/>
    </xf>
    <xf numFmtId="0" fontId="0" fillId="40" borderId="36" xfId="0" applyFill="1" applyBorder="1" applyAlignment="1" applyProtection="1">
      <alignment vertical="center"/>
      <protection hidden="1"/>
    </xf>
    <xf numFmtId="0" fontId="36" fillId="40" borderId="35" xfId="0" applyFont="1" applyFill="1" applyBorder="1" applyAlignment="1" applyProtection="1">
      <alignment horizontal="center" vertical="center"/>
      <protection hidden="1"/>
    </xf>
    <xf numFmtId="1" fontId="55" fillId="40" borderId="69" xfId="0" applyNumberFormat="1" applyFont="1" applyFill="1" applyBorder="1" applyAlignment="1">
      <alignment horizontal="center" vertical="center"/>
    </xf>
    <xf numFmtId="0" fontId="120" fillId="40" borderId="69" xfId="0" applyFont="1" applyFill="1" applyBorder="1" applyAlignment="1" applyProtection="1">
      <alignment horizontal="center" vertical="center"/>
      <protection hidden="1"/>
    </xf>
    <xf numFmtId="0" fontId="0" fillId="40" borderId="32" xfId="0" applyFill="1" applyBorder="1" applyAlignment="1" applyProtection="1">
      <alignment horizontal="centerContinuous" vertical="center"/>
      <protection hidden="1"/>
    </xf>
    <xf numFmtId="0" fontId="128" fillId="40" borderId="32" xfId="0" applyFont="1" applyFill="1" applyBorder="1" applyAlignment="1" applyProtection="1">
      <alignment horizontal="left" vertical="center"/>
      <protection hidden="1"/>
    </xf>
    <xf numFmtId="0" fontId="38" fillId="40" borderId="0" xfId="0" applyFont="1" applyFill="1" applyBorder="1" applyAlignment="1" applyProtection="1" quotePrefix="1">
      <alignment horizontal="centerContinuous" vertical="center"/>
      <protection hidden="1"/>
    </xf>
    <xf numFmtId="0" fontId="27" fillId="40" borderId="0" xfId="0" applyFont="1" applyFill="1" applyBorder="1" applyAlignment="1" applyProtection="1">
      <alignment vertical="center"/>
      <protection hidden="1"/>
    </xf>
    <xf numFmtId="0" fontId="27" fillId="40" borderId="0" xfId="0" applyFont="1" applyFill="1" applyBorder="1" applyAlignment="1" applyProtection="1" quotePrefix="1">
      <alignment vertical="center"/>
      <protection hidden="1"/>
    </xf>
    <xf numFmtId="0" fontId="128" fillId="40" borderId="0" xfId="0" applyFont="1" applyFill="1" applyAlignment="1">
      <alignment/>
    </xf>
    <xf numFmtId="0" fontId="27" fillId="40" borderId="0" xfId="0" applyFont="1" applyFill="1" applyBorder="1" applyAlignment="1" applyProtection="1">
      <alignment horizontal="right" vertical="center"/>
      <protection hidden="1"/>
    </xf>
    <xf numFmtId="0" fontId="27" fillId="40" borderId="0" xfId="0" applyFont="1" applyFill="1" applyBorder="1" applyAlignment="1" applyProtection="1">
      <alignment horizontal="left" vertical="center"/>
      <protection hidden="1"/>
    </xf>
    <xf numFmtId="0" fontId="4" fillId="40" borderId="0" xfId="0" applyFont="1" applyFill="1" applyBorder="1" applyAlignment="1" applyProtection="1">
      <alignment horizontal="centerContinuous" vertical="center"/>
      <protection hidden="1"/>
    </xf>
    <xf numFmtId="0" fontId="90" fillId="40" borderId="0" xfId="0" applyFont="1" applyFill="1" applyBorder="1" applyAlignment="1" applyProtection="1" quotePrefix="1">
      <alignment vertical="center"/>
      <protection hidden="1"/>
    </xf>
    <xf numFmtId="0" fontId="90" fillId="40" borderId="0" xfId="0" applyFont="1" applyFill="1" applyBorder="1" applyAlignment="1" applyProtection="1">
      <alignment horizontal="right" vertical="center"/>
      <protection hidden="1"/>
    </xf>
    <xf numFmtId="0" fontId="90" fillId="40" borderId="0" xfId="0" applyFont="1" applyFill="1" applyBorder="1" applyAlignment="1" applyProtection="1">
      <alignment horizontal="left" vertical="center"/>
      <protection hidden="1"/>
    </xf>
    <xf numFmtId="0" fontId="23" fillId="40" borderId="12" xfId="0" applyFont="1" applyFill="1" applyBorder="1" applyAlignment="1" applyProtection="1">
      <alignment horizontal="center" vertical="center"/>
      <protection hidden="1"/>
    </xf>
    <xf numFmtId="0" fontId="8" fillId="40" borderId="0" xfId="0" applyFont="1" applyFill="1" applyBorder="1" applyAlignment="1" applyProtection="1">
      <alignment horizontal="center" vertical="center"/>
      <protection hidden="1"/>
    </xf>
    <xf numFmtId="0" fontId="39" fillId="40" borderId="0" xfId="0" applyFont="1" applyFill="1" applyBorder="1" applyAlignment="1" applyProtection="1" quotePrefix="1">
      <alignment horizontal="center" vertical="center"/>
      <protection hidden="1"/>
    </xf>
    <xf numFmtId="0" fontId="39" fillId="40" borderId="12" xfId="0" applyFont="1" applyFill="1" applyBorder="1" applyAlignment="1" applyProtection="1">
      <alignment horizontal="center" vertical="center"/>
      <protection hidden="1"/>
    </xf>
    <xf numFmtId="0" fontId="39" fillId="40" borderId="0" xfId="0" applyFont="1" applyFill="1" applyBorder="1" applyAlignment="1" applyProtection="1">
      <alignment horizontal="center" vertical="center"/>
      <protection hidden="1"/>
    </xf>
    <xf numFmtId="0" fontId="41" fillId="40" borderId="0" xfId="0" applyFont="1" applyFill="1" applyBorder="1" applyAlignment="1" applyProtection="1">
      <alignment horizontal="center" vertical="center"/>
      <protection hidden="1"/>
    </xf>
    <xf numFmtId="0" fontId="41" fillId="40" borderId="10" xfId="0" applyFont="1" applyFill="1" applyBorder="1" applyAlignment="1" applyProtection="1">
      <alignment horizontal="center" vertical="center"/>
      <protection hidden="1"/>
    </xf>
    <xf numFmtId="0" fontId="23" fillId="40" borderId="0" xfId="0" applyFont="1" applyFill="1" applyBorder="1" applyAlignment="1" applyProtection="1">
      <alignment horizontal="center" vertical="center"/>
      <protection hidden="1"/>
    </xf>
    <xf numFmtId="0" fontId="39" fillId="40" borderId="10" xfId="0" applyFont="1" applyFill="1" applyBorder="1" applyAlignment="1" applyProtection="1">
      <alignment horizontal="center" vertical="center"/>
      <protection hidden="1"/>
    </xf>
    <xf numFmtId="0" fontId="41" fillId="40" borderId="0" xfId="0" applyFont="1" applyFill="1" applyBorder="1" applyAlignment="1" applyProtection="1">
      <alignment horizontal="center" vertical="center"/>
      <protection hidden="1"/>
    </xf>
    <xf numFmtId="12" fontId="42" fillId="40" borderId="10" xfId="0" applyNumberFormat="1" applyFont="1" applyFill="1" applyBorder="1" applyAlignment="1" applyProtection="1">
      <alignment vertical="center" wrapText="1"/>
      <protection hidden="1"/>
    </xf>
    <xf numFmtId="0" fontId="41" fillId="40" borderId="10" xfId="0" applyFont="1" applyFill="1" applyBorder="1" applyAlignment="1" applyProtection="1">
      <alignment horizontal="center" vertical="center"/>
      <protection hidden="1"/>
    </xf>
    <xf numFmtId="0" fontId="121" fillId="40" borderId="10" xfId="0" applyFont="1" applyFill="1" applyBorder="1" applyAlignment="1" applyProtection="1">
      <alignment/>
      <protection hidden="1"/>
    </xf>
    <xf numFmtId="0" fontId="121" fillId="40" borderId="11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 vertical="center"/>
      <protection hidden="1"/>
    </xf>
    <xf numFmtId="1" fontId="41" fillId="40" borderId="0" xfId="0" applyNumberFormat="1" applyFont="1" applyFill="1" applyBorder="1" applyAlignment="1" applyProtection="1">
      <alignment horizontal="center" vertical="center"/>
      <protection hidden="1"/>
    </xf>
    <xf numFmtId="1" fontId="41" fillId="40" borderId="10" xfId="0" applyNumberFormat="1" applyFont="1" applyFill="1" applyBorder="1" applyAlignment="1" applyProtection="1">
      <alignment horizontal="center" vertical="center"/>
      <protection hidden="1"/>
    </xf>
    <xf numFmtId="0" fontId="3" fillId="40" borderId="12" xfId="0" applyFont="1" applyFill="1" applyBorder="1" applyAlignment="1" applyProtection="1">
      <alignment horizontal="center" vertical="center"/>
      <protection hidden="1"/>
    </xf>
    <xf numFmtId="0" fontId="3" fillId="40" borderId="10" xfId="0" applyFont="1" applyFill="1" applyBorder="1" applyAlignment="1" applyProtection="1">
      <alignment horizontal="center" vertical="center"/>
      <protection hidden="1"/>
    </xf>
    <xf numFmtId="0" fontId="3" fillId="40" borderId="10" xfId="0" applyFont="1" applyFill="1" applyBorder="1" applyAlignment="1" applyProtection="1" quotePrefix="1">
      <alignment horizontal="center" vertical="center"/>
      <protection hidden="1"/>
    </xf>
    <xf numFmtId="0" fontId="3" fillId="40" borderId="10" xfId="0" applyFont="1" applyFill="1" applyBorder="1" applyAlignment="1" applyProtection="1">
      <alignment horizontal="center" vertical="center"/>
      <protection hidden="1"/>
    </xf>
    <xf numFmtId="0" fontId="3" fillId="40" borderId="11" xfId="0" applyFont="1" applyFill="1" applyBorder="1" applyAlignment="1" applyProtection="1">
      <alignment horizontal="center" vertical="center"/>
      <protection hidden="1"/>
    </xf>
    <xf numFmtId="0" fontId="8" fillId="40" borderId="0" xfId="0" applyFont="1" applyFill="1" applyBorder="1" applyAlignment="1" applyProtection="1" quotePrefix="1">
      <alignment horizontal="center" vertical="center"/>
      <protection hidden="1"/>
    </xf>
    <xf numFmtId="1" fontId="8" fillId="40" borderId="0" xfId="0" applyNumberFormat="1" applyFont="1" applyFill="1" applyBorder="1" applyAlignment="1" applyProtection="1">
      <alignment horizontal="center" vertical="center"/>
      <protection hidden="1"/>
    </xf>
    <xf numFmtId="0" fontId="0" fillId="40" borderId="0" xfId="0" applyFill="1" applyAlignment="1" applyProtection="1">
      <alignment vertical="center"/>
      <protection hidden="1"/>
    </xf>
    <xf numFmtId="0" fontId="9" fillId="40" borderId="0" xfId="0" applyFont="1" applyFill="1" applyBorder="1" applyAlignment="1" applyProtection="1">
      <alignment horizontal="center" vertical="center"/>
      <protection hidden="1"/>
    </xf>
    <xf numFmtId="0" fontId="47" fillId="40" borderId="0" xfId="0" applyFont="1" applyFill="1" applyBorder="1" applyAlignment="1" applyProtection="1">
      <alignment horizontal="left" vertical="center"/>
      <protection hidden="1"/>
    </xf>
    <xf numFmtId="0" fontId="2" fillId="40" borderId="58" xfId="0" applyFont="1" applyFill="1" applyBorder="1" applyAlignment="1" applyProtection="1">
      <alignment vertical="center"/>
      <protection hidden="1"/>
    </xf>
    <xf numFmtId="0" fontId="0" fillId="40" borderId="59" xfId="0" applyFill="1" applyBorder="1" applyAlignment="1" applyProtection="1">
      <alignment horizontal="centerContinuous" vertical="center"/>
      <protection hidden="1"/>
    </xf>
    <xf numFmtId="49" fontId="3" fillId="40" borderId="59" xfId="0" applyNumberFormat="1" applyFont="1" applyFill="1" applyBorder="1" applyAlignment="1" applyProtection="1">
      <alignment horizontal="center" vertical="center"/>
      <protection hidden="1"/>
    </xf>
    <xf numFmtId="0" fontId="2" fillId="40" borderId="35" xfId="0" applyFont="1" applyFill="1" applyBorder="1" applyAlignment="1" applyProtection="1">
      <alignment vertical="center"/>
      <protection hidden="1"/>
    </xf>
    <xf numFmtId="0" fontId="2" fillId="40" borderId="0" xfId="0" applyFont="1" applyFill="1" applyBorder="1" applyAlignment="1" applyProtection="1">
      <alignment vertical="center"/>
      <protection hidden="1"/>
    </xf>
    <xf numFmtId="0" fontId="24" fillId="40" borderId="0" xfId="0" applyFont="1" applyFill="1" applyBorder="1" applyAlignment="1" applyProtection="1">
      <alignment horizontal="left" vertical="center"/>
      <protection hidden="1"/>
    </xf>
    <xf numFmtId="0" fontId="105" fillId="40" borderId="0" xfId="45" applyFill="1" applyBorder="1" applyAlignment="1" applyProtection="1">
      <alignment vertical="center"/>
      <protection hidden="1"/>
    </xf>
    <xf numFmtId="0" fontId="92" fillId="40" borderId="0" xfId="0" applyFont="1" applyFill="1" applyBorder="1" applyAlignment="1" applyProtection="1">
      <alignment horizontal="centerContinuous" vertical="center"/>
      <protection hidden="1"/>
    </xf>
    <xf numFmtId="49" fontId="93" fillId="40" borderId="0" xfId="0" applyNumberFormat="1" applyFont="1" applyFill="1" applyBorder="1" applyAlignment="1" applyProtection="1">
      <alignment horizontal="center" vertical="center"/>
      <protection hidden="1"/>
    </xf>
    <xf numFmtId="0" fontId="0" fillId="40" borderId="35" xfId="0" applyFill="1" applyBorder="1" applyAlignment="1" applyProtection="1">
      <alignment horizontal="centerContinuous" vertical="center"/>
      <protection hidden="1"/>
    </xf>
    <xf numFmtId="49" fontId="0" fillId="40" borderId="0" xfId="0" applyNumberFormat="1" applyFill="1" applyBorder="1" applyAlignment="1" applyProtection="1">
      <alignment horizontal="centerContinuous" vertical="center"/>
      <protection hidden="1"/>
    </xf>
    <xf numFmtId="49" fontId="3" fillId="40" borderId="125" xfId="0" applyNumberFormat="1" applyFont="1" applyFill="1" applyBorder="1" applyAlignment="1" applyProtection="1">
      <alignment horizontal="center" vertical="center"/>
      <protection hidden="1"/>
    </xf>
    <xf numFmtId="49" fontId="3" fillId="40" borderId="36" xfId="0" applyNumberFormat="1" applyFont="1" applyFill="1" applyBorder="1" applyAlignment="1" applyProtection="1">
      <alignment horizontal="center" vertical="center"/>
      <protection hidden="1"/>
    </xf>
    <xf numFmtId="49" fontId="0" fillId="40" borderId="36" xfId="0" applyNumberFormat="1" applyFill="1" applyBorder="1" applyAlignment="1" applyProtection="1">
      <alignment horizontal="centerContinuous" vertical="center"/>
      <protection hidden="1"/>
    </xf>
    <xf numFmtId="0" fontId="4" fillId="40" borderId="64" xfId="0" applyFont="1" applyFill="1" applyBorder="1" applyAlignment="1" applyProtection="1">
      <alignment horizontal="center" vertical="center"/>
      <protection hidden="1"/>
    </xf>
    <xf numFmtId="0" fontId="4" fillId="40" borderId="35" xfId="0" applyFont="1" applyFill="1" applyBorder="1" applyAlignment="1" applyProtection="1">
      <alignment horizontal="center" vertical="center"/>
      <protection hidden="1"/>
    </xf>
    <xf numFmtId="0" fontId="4" fillId="40" borderId="103" xfId="0" applyFont="1" applyFill="1" applyBorder="1" applyAlignment="1" applyProtection="1">
      <alignment horizontal="center" vertical="center"/>
      <protection hidden="1"/>
    </xf>
    <xf numFmtId="0" fontId="4" fillId="40" borderId="65" xfId="0" applyFont="1" applyFill="1" applyBorder="1" applyAlignment="1" applyProtection="1">
      <alignment horizontal="center" vertical="center"/>
      <protection hidden="1"/>
    </xf>
    <xf numFmtId="49" fontId="8" fillId="40" borderId="81" xfId="0" applyNumberFormat="1" applyFont="1" applyFill="1" applyBorder="1" applyAlignment="1" applyProtection="1" quotePrefix="1">
      <alignment horizontal="center" vertical="center"/>
      <protection hidden="1"/>
    </xf>
    <xf numFmtId="49" fontId="8" fillId="40" borderId="27" xfId="0" applyNumberFormat="1" applyFont="1" applyFill="1" applyBorder="1" applyAlignment="1" applyProtection="1" quotePrefix="1">
      <alignment horizontal="center" vertical="center"/>
      <protection hidden="1"/>
    </xf>
    <xf numFmtId="49" fontId="8" fillId="40" borderId="0" xfId="0" applyNumberFormat="1" applyFont="1" applyFill="1" applyBorder="1" applyAlignment="1" applyProtection="1" quotePrefix="1">
      <alignment horizontal="center" vertical="center"/>
      <protection hidden="1"/>
    </xf>
    <xf numFmtId="49" fontId="8" fillId="40" borderId="83" xfId="0" applyNumberFormat="1" applyFont="1" applyFill="1" applyBorder="1" applyAlignment="1" applyProtection="1" quotePrefix="1">
      <alignment horizontal="center" vertical="center"/>
      <protection hidden="1"/>
    </xf>
    <xf numFmtId="49" fontId="8" fillId="40" borderId="104" xfId="0" applyNumberFormat="1" applyFont="1" applyFill="1" applyBorder="1" applyAlignment="1" applyProtection="1" quotePrefix="1">
      <alignment horizontal="center" vertical="center"/>
      <protection hidden="1"/>
    </xf>
    <xf numFmtId="49" fontId="8" fillId="40" borderId="32" xfId="0" applyNumberFormat="1" applyFont="1" applyFill="1" applyBorder="1" applyAlignment="1" applyProtection="1" quotePrefix="1">
      <alignment horizontal="center" vertical="center"/>
      <protection hidden="1"/>
    </xf>
    <xf numFmtId="49" fontId="8" fillId="40" borderId="36" xfId="0" applyNumberFormat="1" applyFont="1" applyFill="1" applyBorder="1" applyAlignment="1" applyProtection="1" quotePrefix="1">
      <alignment horizontal="center" vertical="center"/>
      <protection hidden="1"/>
    </xf>
    <xf numFmtId="0" fontId="4" fillId="40" borderId="12" xfId="0" applyFont="1" applyFill="1" applyBorder="1" applyAlignment="1" applyProtection="1">
      <alignment horizontal="center" vertical="center"/>
      <protection hidden="1"/>
    </xf>
    <xf numFmtId="0" fontId="4" fillId="40" borderId="11" xfId="0" applyFont="1" applyFill="1" applyBorder="1" applyAlignment="1" applyProtection="1">
      <alignment horizontal="center" vertical="center"/>
      <protection hidden="1"/>
    </xf>
    <xf numFmtId="0" fontId="4" fillId="40" borderId="10" xfId="0" applyFont="1" applyFill="1" applyBorder="1" applyAlignment="1" applyProtection="1">
      <alignment horizontal="center" vertical="center"/>
      <protection hidden="1"/>
    </xf>
    <xf numFmtId="0" fontId="4" fillId="40" borderId="0" xfId="0" applyFont="1" applyFill="1" applyBorder="1" applyAlignment="1" applyProtection="1">
      <alignment horizontal="center" vertical="center"/>
      <protection hidden="1"/>
    </xf>
    <xf numFmtId="0" fontId="8" fillId="40" borderId="0" xfId="0" applyFont="1" applyFill="1" applyBorder="1" applyAlignment="1" applyProtection="1">
      <alignment horizontal="center" vertical="center"/>
      <protection hidden="1"/>
    </xf>
    <xf numFmtId="0" fontId="8" fillId="40" borderId="11" xfId="0" applyFont="1" applyFill="1" applyBorder="1" applyAlignment="1" applyProtection="1">
      <alignment horizontal="center" vertical="center"/>
      <protection hidden="1"/>
    </xf>
    <xf numFmtId="0" fontId="8" fillId="40" borderId="10" xfId="0" applyFont="1" applyFill="1" applyBorder="1" applyAlignment="1" applyProtection="1">
      <alignment horizontal="center" vertical="center"/>
      <protection hidden="1"/>
    </xf>
    <xf numFmtId="0" fontId="3" fillId="40" borderId="0" xfId="0" applyFont="1" applyFill="1" applyBorder="1" applyAlignment="1" applyProtection="1" quotePrefix="1">
      <alignment horizontal="center" vertical="center"/>
      <protection hidden="1"/>
    </xf>
    <xf numFmtId="0" fontId="3" fillId="40" borderId="10" xfId="0" applyFont="1" applyFill="1" applyBorder="1" applyAlignment="1" applyProtection="1" quotePrefix="1">
      <alignment horizontal="center" vertical="center"/>
      <protection hidden="1"/>
    </xf>
    <xf numFmtId="0" fontId="3" fillId="40" borderId="12" xfId="0" applyFont="1" applyFill="1" applyBorder="1" applyAlignment="1" applyProtection="1" quotePrefix="1">
      <alignment horizontal="center" vertical="center"/>
      <protection hidden="1"/>
    </xf>
    <xf numFmtId="0" fontId="3" fillId="40" borderId="10" xfId="35" applyFont="1" applyFill="1" applyBorder="1" applyAlignment="1" applyProtection="1">
      <alignment horizontal="center" vertical="center"/>
      <protection hidden="1"/>
    </xf>
    <xf numFmtId="0" fontId="3" fillId="40" borderId="10" xfId="35" applyFont="1" applyFill="1" applyBorder="1" applyAlignment="1" applyProtection="1" quotePrefix="1">
      <alignment horizontal="center" vertical="center"/>
      <protection hidden="1"/>
    </xf>
    <xf numFmtId="0" fontId="3" fillId="40" borderId="11" xfId="0" applyFont="1" applyFill="1" applyBorder="1" applyAlignment="1" applyProtection="1">
      <alignment horizontal="center" vertical="center"/>
      <protection hidden="1"/>
    </xf>
    <xf numFmtId="0" fontId="4" fillId="40" borderId="35" xfId="0" applyFont="1" applyFill="1" applyBorder="1" applyAlignment="1" applyProtection="1">
      <alignment horizontal="center" vertical="center"/>
      <protection hidden="1"/>
    </xf>
    <xf numFmtId="0" fontId="4" fillId="40" borderId="0" xfId="0" applyFont="1" applyFill="1" applyBorder="1" applyAlignment="1" applyProtection="1">
      <alignment horizontal="center" vertical="center"/>
      <protection hidden="1"/>
    </xf>
    <xf numFmtId="0" fontId="19" fillId="40" borderId="0" xfId="0" applyFont="1" applyFill="1" applyBorder="1" applyAlignment="1" applyProtection="1">
      <alignment horizontal="center" vertical="center"/>
      <protection hidden="1"/>
    </xf>
    <xf numFmtId="0" fontId="3" fillId="40" borderId="0" xfId="0" applyFont="1" applyFill="1" applyBorder="1" applyAlignment="1" applyProtection="1">
      <alignment horizontal="center" vertical="center"/>
      <protection hidden="1"/>
    </xf>
    <xf numFmtId="0" fontId="8" fillId="40" borderId="11" xfId="0" applyFont="1" applyFill="1" applyBorder="1" applyAlignment="1" applyProtection="1">
      <alignment horizontal="center" vertical="center"/>
      <protection hidden="1"/>
    </xf>
    <xf numFmtId="0" fontId="2" fillId="40" borderId="59" xfId="0" applyFont="1" applyFill="1" applyBorder="1" applyAlignment="1" applyProtection="1">
      <alignment horizontal="right" vertical="center"/>
      <protection hidden="1"/>
    </xf>
    <xf numFmtId="0" fontId="27" fillId="40" borderId="59" xfId="0" applyFont="1" applyFill="1" applyBorder="1" applyAlignment="1" applyProtection="1">
      <alignment vertical="center"/>
      <protection hidden="1"/>
    </xf>
    <xf numFmtId="0" fontId="3" fillId="40" borderId="59" xfId="0" applyFont="1" applyFill="1" applyBorder="1" applyAlignment="1" applyProtection="1">
      <alignment horizontal="center" vertical="center"/>
      <protection hidden="1"/>
    </xf>
    <xf numFmtId="0" fontId="2" fillId="40" borderId="125" xfId="0" applyFont="1" applyFill="1" applyBorder="1" applyAlignment="1" applyProtection="1">
      <alignment vertical="center"/>
      <protection hidden="1"/>
    </xf>
    <xf numFmtId="0" fontId="0" fillId="40" borderId="36" xfId="0" applyFill="1" applyBorder="1" applyAlignment="1" applyProtection="1">
      <alignment horizontal="centerContinuous" vertical="center"/>
      <protection hidden="1"/>
    </xf>
    <xf numFmtId="0" fontId="8" fillId="40" borderId="34" xfId="0" applyFont="1" applyFill="1" applyBorder="1" applyAlignment="1" applyProtection="1" quotePrefix="1">
      <alignment horizontal="center" vertical="center"/>
      <protection hidden="1"/>
    </xf>
    <xf numFmtId="0" fontId="8" fillId="40" borderId="82" xfId="0" applyFont="1" applyFill="1" applyBorder="1" applyAlignment="1" applyProtection="1" quotePrefix="1">
      <alignment horizontal="center" vertical="center"/>
      <protection hidden="1"/>
    </xf>
    <xf numFmtId="0" fontId="8" fillId="40" borderId="21" xfId="0" applyFont="1" applyFill="1" applyBorder="1" applyAlignment="1" applyProtection="1">
      <alignment horizontal="center" vertical="center"/>
      <protection hidden="1"/>
    </xf>
    <xf numFmtId="0" fontId="3" fillId="40" borderId="54" xfId="0" applyFont="1" applyFill="1" applyBorder="1" applyAlignment="1" applyProtection="1">
      <alignment horizontal="center" vertical="center"/>
      <protection hidden="1"/>
    </xf>
    <xf numFmtId="0" fontId="63" fillId="40" borderId="0" xfId="0" applyFont="1" applyFill="1" applyBorder="1" applyAlignment="1" applyProtection="1">
      <alignment horizontal="left" vertical="center"/>
      <protection hidden="1"/>
    </xf>
    <xf numFmtId="0" fontId="105" fillId="40" borderId="0" xfId="45" applyFill="1" applyBorder="1" applyAlignment="1" applyProtection="1">
      <alignment horizontal="right" vertical="center"/>
      <protection hidden="1"/>
    </xf>
    <xf numFmtId="0" fontId="5" fillId="40" borderId="0" xfId="0" applyFont="1" applyFill="1" applyAlignment="1" applyProtection="1">
      <alignment vertical="center"/>
      <protection hidden="1"/>
    </xf>
    <xf numFmtId="0" fontId="24" fillId="40" borderId="0" xfId="0" applyFont="1" applyFill="1" applyBorder="1" applyAlignment="1" applyProtection="1">
      <alignment vertical="center"/>
      <protection hidden="1"/>
    </xf>
    <xf numFmtId="0" fontId="2" fillId="40" borderId="45" xfId="0" applyFont="1" applyFill="1" applyBorder="1" applyAlignment="1" applyProtection="1">
      <alignment vertical="center"/>
      <protection hidden="1"/>
    </xf>
    <xf numFmtId="0" fontId="2" fillId="40" borderId="46" xfId="0" applyFont="1" applyFill="1" applyBorder="1" applyAlignment="1" applyProtection="1">
      <alignment vertical="center"/>
      <protection hidden="1"/>
    </xf>
    <xf numFmtId="0" fontId="120" fillId="40" borderId="69" xfId="0" applyFont="1" applyFill="1" applyBorder="1" applyAlignment="1">
      <alignment/>
    </xf>
    <xf numFmtId="0" fontId="120" fillId="40" borderId="69" xfId="0" applyFont="1" applyFill="1" applyBorder="1" applyAlignment="1">
      <alignment horizontal="center"/>
    </xf>
    <xf numFmtId="0" fontId="120" fillId="40" borderId="126" xfId="0" applyFont="1" applyFill="1" applyBorder="1" applyAlignment="1">
      <alignment horizontal="center" vertical="center"/>
    </xf>
    <xf numFmtId="0" fontId="119" fillId="40" borderId="69" xfId="0" applyFont="1" applyFill="1" applyBorder="1" applyAlignment="1">
      <alignment horizontal="center" vertical="center"/>
    </xf>
    <xf numFmtId="0" fontId="130" fillId="40" borderId="69" xfId="0" applyFont="1" applyFill="1" applyBorder="1" applyAlignment="1">
      <alignment horizontal="center"/>
    </xf>
    <xf numFmtId="0" fontId="130" fillId="40" borderId="126" xfId="0" applyFont="1" applyFill="1" applyBorder="1" applyAlignment="1">
      <alignment horizontal="center"/>
    </xf>
    <xf numFmtId="0" fontId="130" fillId="40" borderId="127" xfId="0" applyFont="1" applyFill="1" applyBorder="1" applyAlignment="1">
      <alignment horizontal="center"/>
    </xf>
    <xf numFmtId="49" fontId="8" fillId="40" borderId="34" xfId="0" applyNumberFormat="1" applyFont="1" applyFill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left" vertical="center"/>
      <protection hidden="1"/>
    </xf>
    <xf numFmtId="49" fontId="8" fillId="40" borderId="128" xfId="0" applyNumberFormat="1" applyFont="1" applyFill="1" applyBorder="1" applyAlignment="1" applyProtection="1" quotePrefix="1">
      <alignment horizontal="center" vertical="center"/>
      <protection hidden="1"/>
    </xf>
    <xf numFmtId="0" fontId="119" fillId="0" borderId="129" xfId="0" applyFont="1" applyBorder="1" applyAlignment="1">
      <alignment horizontal="center"/>
    </xf>
    <xf numFmtId="0" fontId="119" fillId="0" borderId="130" xfId="0" applyFont="1" applyBorder="1" applyAlignment="1">
      <alignment horizontal="center"/>
    </xf>
    <xf numFmtId="0" fontId="119" fillId="0" borderId="119" xfId="0" applyFont="1" applyBorder="1" applyAlignment="1">
      <alignment horizontal="center"/>
    </xf>
    <xf numFmtId="0" fontId="119" fillId="0" borderId="112" xfId="0" applyFont="1" applyBorder="1" applyAlignment="1">
      <alignment horizontal="center"/>
    </xf>
    <xf numFmtId="0" fontId="119" fillId="0" borderId="44" xfId="0" applyFont="1" applyBorder="1" applyAlignment="1">
      <alignment horizontal="center"/>
    </xf>
    <xf numFmtId="0" fontId="119" fillId="0" borderId="131" xfId="0" applyFont="1" applyBorder="1" applyAlignment="1">
      <alignment horizontal="center"/>
    </xf>
    <xf numFmtId="49" fontId="119" fillId="0" borderId="132" xfId="0" applyNumberFormat="1" applyFont="1" applyBorder="1" applyAlignment="1">
      <alignment horizontal="center" vertical="center"/>
    </xf>
    <xf numFmtId="49" fontId="119" fillId="0" borderId="20" xfId="0" applyNumberFormat="1" applyFont="1" applyBorder="1" applyAlignment="1">
      <alignment horizontal="center" vertical="center"/>
    </xf>
    <xf numFmtId="49" fontId="119" fillId="0" borderId="133" xfId="0" applyNumberFormat="1" applyFont="1" applyBorder="1" applyAlignment="1">
      <alignment horizontal="center" vertical="center"/>
    </xf>
    <xf numFmtId="49" fontId="119" fillId="0" borderId="134" xfId="0" applyNumberFormat="1" applyFont="1" applyBorder="1" applyAlignment="1">
      <alignment horizontal="center" vertical="center"/>
    </xf>
    <xf numFmtId="49" fontId="119" fillId="0" borderId="135" xfId="0" applyNumberFormat="1" applyFont="1" applyBorder="1" applyAlignment="1">
      <alignment horizontal="center" vertical="center"/>
    </xf>
    <xf numFmtId="0" fontId="120" fillId="33" borderId="35" xfId="0" applyFont="1" applyFill="1" applyBorder="1" applyAlignment="1">
      <alignment horizontal="center" vertical="center"/>
    </xf>
    <xf numFmtId="0" fontId="131" fillId="40" borderId="0" xfId="0" applyFont="1" applyFill="1" applyBorder="1" applyAlignment="1" applyProtection="1">
      <alignment horizontal="left" vertical="center"/>
      <protection hidden="1"/>
    </xf>
    <xf numFmtId="0" fontId="0" fillId="40" borderId="61" xfId="0" applyFill="1" applyBorder="1" applyAlignment="1">
      <alignment vertical="center" wrapText="1"/>
    </xf>
    <xf numFmtId="164" fontId="0" fillId="0" borderId="96" xfId="63" applyNumberFormat="1" applyFont="1" applyBorder="1" applyAlignment="1">
      <alignment horizontal="center" vertical="center"/>
    </xf>
    <xf numFmtId="164" fontId="127" fillId="0" borderId="96" xfId="63" applyNumberFormat="1" applyFont="1" applyBorder="1" applyAlignment="1">
      <alignment horizontal="center" vertical="center"/>
    </xf>
    <xf numFmtId="43" fontId="0" fillId="0" borderId="96" xfId="63" applyFont="1" applyBorder="1" applyAlignment="1">
      <alignment horizontal="center" vertical="center" wrapText="1"/>
    </xf>
    <xf numFmtId="164" fontId="0" fillId="0" borderId="61" xfId="0" applyNumberFormat="1" applyBorder="1" applyAlignment="1">
      <alignment horizontal="center"/>
    </xf>
    <xf numFmtId="0" fontId="0" fillId="0" borderId="0" xfId="0" applyAlignment="1">
      <alignment vertical="top"/>
    </xf>
    <xf numFmtId="164" fontId="0" fillId="0" borderId="61" xfId="0" applyNumberFormat="1" applyBorder="1" applyAlignment="1">
      <alignment horizontal="center" vertical="center"/>
    </xf>
    <xf numFmtId="0" fontId="0" fillId="43" borderId="60" xfId="0" applyFill="1" applyBorder="1" applyAlignment="1">
      <alignment/>
    </xf>
    <xf numFmtId="164" fontId="0" fillId="0" borderId="63" xfId="0" applyNumberFormat="1" applyBorder="1" applyAlignment="1">
      <alignment horizontal="center"/>
    </xf>
    <xf numFmtId="0" fontId="0" fillId="43" borderId="60" xfId="0" applyFill="1" applyBorder="1" applyAlignment="1">
      <alignment wrapText="1"/>
    </xf>
    <xf numFmtId="0" fontId="0" fillId="43" borderId="71" xfId="0" applyFill="1" applyBorder="1" applyAlignment="1">
      <alignment/>
    </xf>
    <xf numFmtId="164" fontId="0" fillId="0" borderId="72" xfId="0" applyNumberFormat="1" applyBorder="1" applyAlignment="1">
      <alignment horizontal="center"/>
    </xf>
    <xf numFmtId="164" fontId="0" fillId="0" borderId="73" xfId="0" applyNumberFormat="1" applyBorder="1" applyAlignment="1">
      <alignment horizontal="center"/>
    </xf>
    <xf numFmtId="0" fontId="0" fillId="43" borderId="136" xfId="0" applyFill="1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101" xfId="0" applyBorder="1" applyAlignment="1">
      <alignment horizontal="center"/>
    </xf>
    <xf numFmtId="164" fontId="127" fillId="0" borderId="96" xfId="0" applyNumberFormat="1" applyFont="1" applyBorder="1" applyAlignment="1">
      <alignment horizontal="center" vertical="center" wrapText="1"/>
    </xf>
    <xf numFmtId="0" fontId="0" fillId="38" borderId="32" xfId="0" applyFill="1" applyBorder="1" applyAlignment="1">
      <alignment horizontal="center" vertical="center"/>
    </xf>
    <xf numFmtId="0" fontId="0" fillId="38" borderId="32" xfId="0" applyFill="1" applyBorder="1" applyAlignment="1">
      <alignment/>
    </xf>
    <xf numFmtId="0" fontId="0" fillId="38" borderId="32" xfId="0" applyFill="1" applyBorder="1" applyAlignment="1">
      <alignment horizontal="center"/>
    </xf>
    <xf numFmtId="0" fontId="38" fillId="38" borderId="0" xfId="0" applyFont="1" applyFill="1" applyAlignment="1">
      <alignment/>
    </xf>
    <xf numFmtId="0" fontId="0" fillId="38" borderId="0" xfId="0" applyFill="1" applyAlignment="1">
      <alignment/>
    </xf>
    <xf numFmtId="0" fontId="132" fillId="38" borderId="0" xfId="0" applyFont="1" applyFill="1" applyAlignment="1">
      <alignment/>
    </xf>
    <xf numFmtId="0" fontId="27" fillId="38" borderId="0" xfId="0" applyFont="1" applyFill="1" applyAlignment="1">
      <alignment horizontal="right"/>
    </xf>
    <xf numFmtId="0" fontId="19" fillId="38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8" fillId="38" borderId="33" xfId="0" applyFont="1" applyFill="1" applyBorder="1" applyAlignment="1">
      <alignment/>
    </xf>
    <xf numFmtId="0" fontId="0" fillId="38" borderId="33" xfId="0" applyFill="1" applyBorder="1" applyAlignment="1">
      <alignment/>
    </xf>
    <xf numFmtId="0" fontId="18" fillId="33" borderId="0" xfId="0" applyFont="1" applyFill="1" applyBorder="1" applyAlignment="1">
      <alignment/>
    </xf>
    <xf numFmtId="0" fontId="9" fillId="33" borderId="0" xfId="0" applyFont="1" applyFill="1" applyAlignment="1" applyProtection="1">
      <alignment horizontal="right" vertical="center"/>
      <protection hidden="1"/>
    </xf>
    <xf numFmtId="0" fontId="41" fillId="33" borderId="0" xfId="0" applyFont="1" applyFill="1" applyAlignment="1" applyProtection="1">
      <alignment/>
      <protection hidden="1"/>
    </xf>
    <xf numFmtId="0" fontId="4" fillId="38" borderId="12" xfId="0" applyFont="1" applyFill="1" applyBorder="1" applyAlignment="1">
      <alignment horizontal="center" vertical="center"/>
    </xf>
    <xf numFmtId="0" fontId="5" fillId="0" borderId="10" xfId="0" applyFont="1" applyBorder="1" applyAlignment="1" quotePrefix="1">
      <alignment horizontal="left" vertical="center"/>
    </xf>
    <xf numFmtId="0" fontId="9" fillId="0" borderId="10" xfId="0" applyFont="1" applyFill="1" applyBorder="1" applyAlignment="1">
      <alignment/>
    </xf>
    <xf numFmtId="0" fontId="4" fillId="38" borderId="19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5" fillId="0" borderId="12" xfId="0" applyFont="1" applyBorder="1" applyAlignment="1" quotePrefix="1">
      <alignment horizontal="left" vertical="center"/>
    </xf>
    <xf numFmtId="0" fontId="9" fillId="0" borderId="0" xfId="0" applyFont="1" applyFill="1" applyAlignment="1">
      <alignment/>
    </xf>
    <xf numFmtId="0" fontId="9" fillId="0" borderId="49" xfId="0" applyFont="1" applyFill="1" applyBorder="1" applyAlignment="1">
      <alignment/>
    </xf>
    <xf numFmtId="0" fontId="65" fillId="33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17" xfId="0" applyFont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4" fillId="38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4" fillId="38" borderId="0" xfId="0" applyFont="1" applyFill="1" applyBorder="1" applyAlignment="1">
      <alignment horizontal="center"/>
    </xf>
    <xf numFmtId="0" fontId="5" fillId="0" borderId="29" xfId="0" applyFont="1" applyBorder="1" applyAlignment="1">
      <alignment/>
    </xf>
    <xf numFmtId="2" fontId="66" fillId="0" borderId="0" xfId="0" applyNumberFormat="1" applyFont="1" applyBorder="1" applyAlignment="1" applyProtection="1">
      <alignment horizontal="center" vertical="center"/>
      <protection hidden="1"/>
    </xf>
    <xf numFmtId="0" fontId="43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" fillId="38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3" fillId="0" borderId="0" xfId="0" applyFont="1" applyAlignment="1" applyProtection="1">
      <alignment/>
      <protection hidden="1"/>
    </xf>
    <xf numFmtId="0" fontId="39" fillId="33" borderId="0" xfId="0" applyFont="1" applyFill="1" applyAlignment="1">
      <alignment/>
    </xf>
    <xf numFmtId="0" fontId="0" fillId="33" borderId="49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4" fillId="38" borderId="12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 applyProtection="1">
      <alignment vertical="center"/>
      <protection hidden="1"/>
    </xf>
    <xf numFmtId="0" fontId="5" fillId="0" borderId="25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4" fillId="38" borderId="12" xfId="0" applyFont="1" applyFill="1" applyBorder="1" applyAlignment="1" quotePrefix="1">
      <alignment horizontal="center"/>
    </xf>
    <xf numFmtId="0" fontId="9" fillId="33" borderId="16" xfId="0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0" fontId="4" fillId="38" borderId="0" xfId="0" applyFont="1" applyFill="1" applyBorder="1" applyAlignment="1" quotePrefix="1">
      <alignment horizontal="center"/>
    </xf>
    <xf numFmtId="0" fontId="5" fillId="0" borderId="10" xfId="0" applyFont="1" applyBorder="1" applyAlignment="1">
      <alignment horizontal="left"/>
    </xf>
    <xf numFmtId="0" fontId="9" fillId="0" borderId="25" xfId="0" applyFont="1" applyBorder="1" applyAlignment="1">
      <alignment/>
    </xf>
    <xf numFmtId="0" fontId="4" fillId="38" borderId="10" xfId="0" applyFont="1" applyFill="1" applyBorder="1" applyAlignment="1" quotePrefix="1">
      <alignment horizontal="center"/>
    </xf>
    <xf numFmtId="0" fontId="5" fillId="0" borderId="10" xfId="0" applyFont="1" applyBorder="1" applyAlignment="1" quotePrefix="1">
      <alignment horizontal="left"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38" borderId="11" xfId="0" applyFont="1" applyFill="1" applyBorder="1" applyAlignment="1" quotePrefix="1">
      <alignment horizontal="center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9" fillId="33" borderId="0" xfId="0" applyFont="1" applyFill="1" applyAlignment="1">
      <alignment horizontal="center"/>
    </xf>
    <xf numFmtId="0" fontId="4" fillId="38" borderId="0" xfId="0" applyFont="1" applyFill="1" applyAlignment="1">
      <alignment horizontal="center"/>
    </xf>
    <xf numFmtId="0" fontId="6" fillId="0" borderId="21" xfId="0" applyFont="1" applyBorder="1" applyAlignment="1" quotePrefix="1">
      <alignment horizontal="center"/>
    </xf>
    <xf numFmtId="0" fontId="5" fillId="0" borderId="21" xfId="0" applyFont="1" applyBorder="1" applyAlignment="1" quotePrefix="1">
      <alignment horizontal="center"/>
    </xf>
    <xf numFmtId="0" fontId="5" fillId="0" borderId="16" xfId="0" applyFont="1" applyBorder="1" applyAlignment="1" quotePrefix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7" fillId="33" borderId="0" xfId="0" applyFont="1" applyFill="1" applyBorder="1" applyAlignment="1">
      <alignment vertical="center"/>
    </xf>
    <xf numFmtId="0" fontId="41" fillId="33" borderId="0" xfId="0" applyFont="1" applyFill="1" applyAlignment="1" applyProtection="1">
      <alignment/>
      <protection hidden="1"/>
    </xf>
    <xf numFmtId="0" fontId="5" fillId="0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19" fillId="33" borderId="33" xfId="0" applyFont="1" applyFill="1" applyBorder="1" applyAlignment="1">
      <alignment horizontal="center"/>
    </xf>
    <xf numFmtId="0" fontId="67" fillId="33" borderId="33" xfId="0" applyFont="1" applyFill="1" applyBorder="1" applyAlignment="1">
      <alignment/>
    </xf>
    <xf numFmtId="0" fontId="16" fillId="0" borderId="81" xfId="0" applyFont="1" applyBorder="1" applyAlignment="1">
      <alignment/>
    </xf>
    <xf numFmtId="0" fontId="16" fillId="0" borderId="83" xfId="0" applyFont="1" applyBorder="1" applyAlignment="1">
      <alignment/>
    </xf>
    <xf numFmtId="0" fontId="10" fillId="0" borderId="83" xfId="0" applyFont="1" applyBorder="1" applyAlignment="1">
      <alignment horizontal="center"/>
    </xf>
    <xf numFmtId="0" fontId="16" fillId="0" borderId="82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6" fillId="0" borderId="25" xfId="0" applyFont="1" applyBorder="1" applyAlignment="1">
      <alignment/>
    </xf>
    <xf numFmtId="0" fontId="4" fillId="33" borderId="0" xfId="0" applyFont="1" applyFill="1" applyBorder="1" applyAlignment="1" quotePrefix="1">
      <alignment horizontal="center"/>
    </xf>
    <xf numFmtId="0" fontId="9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0" fontId="9" fillId="0" borderId="11" xfId="0" applyFont="1" applyFill="1" applyBorder="1" applyAlignment="1">
      <alignment/>
    </xf>
    <xf numFmtId="0" fontId="0" fillId="0" borderId="25" xfId="0" applyBorder="1" applyAlignment="1">
      <alignment/>
    </xf>
    <xf numFmtId="0" fontId="10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19" fillId="0" borderId="61" xfId="0" applyNumberFormat="1" applyFont="1" applyBorder="1" applyAlignment="1">
      <alignment horizontal="center" vertical="center"/>
    </xf>
    <xf numFmtId="0" fontId="119" fillId="0" borderId="77" xfId="0" applyNumberFormat="1" applyFont="1" applyBorder="1" applyAlignment="1">
      <alignment horizontal="center" vertical="center"/>
    </xf>
    <xf numFmtId="1" fontId="23" fillId="40" borderId="54" xfId="0" applyNumberFormat="1" applyFont="1" applyFill="1" applyBorder="1" applyAlignment="1" applyProtection="1">
      <alignment horizontal="center" vertical="center"/>
      <protection hidden="1"/>
    </xf>
    <xf numFmtId="1" fontId="36" fillId="0" borderId="89" xfId="0" applyNumberFormat="1" applyFont="1" applyBorder="1" applyAlignment="1" applyProtection="1">
      <alignment horizontal="center" vertical="center"/>
      <protection hidden="1"/>
    </xf>
    <xf numFmtId="1" fontId="9" fillId="0" borderId="79" xfId="0" applyNumberFormat="1" applyFont="1" applyBorder="1" applyAlignment="1" applyProtection="1">
      <alignment horizontal="center" vertical="center"/>
      <protection hidden="1"/>
    </xf>
    <xf numFmtId="1" fontId="9" fillId="0" borderId="56" xfId="0" applyNumberFormat="1" applyFont="1" applyBorder="1" applyAlignment="1" applyProtection="1">
      <alignment horizontal="center" vertical="center"/>
      <protection hidden="1"/>
    </xf>
    <xf numFmtId="1" fontId="9" fillId="0" borderId="99" xfId="0" applyNumberFormat="1" applyFont="1" applyBorder="1" applyAlignment="1" applyProtection="1">
      <alignment horizontal="center" vertical="center"/>
      <protection hidden="1"/>
    </xf>
    <xf numFmtId="1" fontId="9" fillId="0" borderId="80" xfId="0" applyNumberFormat="1" applyFont="1" applyBorder="1" applyAlignment="1" applyProtection="1">
      <alignment horizontal="center" vertical="center"/>
      <protection hidden="1"/>
    </xf>
    <xf numFmtId="1" fontId="9" fillId="0" borderId="16" xfId="0" applyNumberFormat="1" applyFont="1" applyBorder="1" applyAlignment="1" applyProtection="1">
      <alignment horizontal="center" vertical="center"/>
      <protection hidden="1"/>
    </xf>
    <xf numFmtId="1" fontId="9" fillId="34" borderId="51" xfId="0" applyNumberFormat="1" applyFont="1" applyFill="1" applyBorder="1" applyAlignment="1" applyProtection="1">
      <alignment horizontal="center" vertical="center"/>
      <protection hidden="1"/>
    </xf>
    <xf numFmtId="1" fontId="9" fillId="0" borderId="57" xfId="0" applyNumberFormat="1" applyFont="1" applyBorder="1" applyAlignment="1" applyProtection="1">
      <alignment horizontal="center" vertical="center"/>
      <protection hidden="1"/>
    </xf>
    <xf numFmtId="1" fontId="9" fillId="0" borderId="14" xfId="0" applyNumberFormat="1" applyFont="1" applyBorder="1" applyAlignment="1" applyProtection="1">
      <alignment horizontal="center" vertical="center"/>
      <protection hidden="1"/>
    </xf>
    <xf numFmtId="1" fontId="9" fillId="0" borderId="15" xfId="0" applyNumberFormat="1" applyFont="1" applyBorder="1" applyAlignment="1" applyProtection="1">
      <alignment horizontal="center" vertical="center"/>
      <protection hidden="1"/>
    </xf>
    <xf numFmtId="1" fontId="9" fillId="0" borderId="25" xfId="0" applyNumberFormat="1" applyFont="1" applyBorder="1" applyAlignment="1" applyProtection="1">
      <alignment horizontal="center" vertical="center"/>
      <protection hidden="1"/>
    </xf>
    <xf numFmtId="0" fontId="9" fillId="0" borderId="2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33" borderId="27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25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119" fillId="0" borderId="61" xfId="0" applyFont="1" applyBorder="1" applyAlignment="1">
      <alignment horizontal="center" vertical="center"/>
    </xf>
    <xf numFmtId="0" fontId="127" fillId="0" borderId="121" xfId="0" applyFont="1" applyBorder="1" applyAlignment="1">
      <alignment vertical="center" wrapText="1"/>
    </xf>
    <xf numFmtId="164" fontId="127" fillId="0" borderId="123" xfId="0" applyNumberFormat="1" applyFont="1" applyBorder="1" applyAlignment="1">
      <alignment horizontal="center" vertical="center" wrapText="1"/>
    </xf>
    <xf numFmtId="0" fontId="127" fillId="0" borderId="122" xfId="0" applyFont="1" applyBorder="1" applyAlignment="1">
      <alignment vertical="center" wrapText="1"/>
    </xf>
    <xf numFmtId="0" fontId="0" fillId="0" borderId="137" xfId="0" applyBorder="1" applyAlignment="1">
      <alignment vertical="top" wrapText="1"/>
    </xf>
    <xf numFmtId="0" fontId="0" fillId="0" borderId="138" xfId="0" applyBorder="1" applyAlignment="1">
      <alignment vertical="top" wrapText="1"/>
    </xf>
    <xf numFmtId="0" fontId="0" fillId="0" borderId="138" xfId="0" applyBorder="1" applyAlignment="1">
      <alignment horizontal="left" vertical="center" wrapText="1"/>
    </xf>
    <xf numFmtId="0" fontId="90" fillId="0" borderId="138" xfId="0" applyFont="1" applyBorder="1" applyAlignment="1">
      <alignment horizontal="left" vertical="center" wrapText="1"/>
    </xf>
    <xf numFmtId="0" fontId="0" fillId="0" borderId="137" xfId="0" applyBorder="1" applyAlignment="1">
      <alignment horizontal="center" vertical="center" wrapText="1"/>
    </xf>
    <xf numFmtId="0" fontId="0" fillId="0" borderId="139" xfId="0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164" fontId="0" fillId="0" borderId="138" xfId="0" applyNumberFormat="1" applyBorder="1" applyAlignment="1">
      <alignment horizontal="center" vertical="center" wrapText="1"/>
    </xf>
    <xf numFmtId="0" fontId="0" fillId="0" borderId="140" xfId="0" applyBorder="1" applyAlignment="1">
      <alignment horizontal="center" vertical="center" wrapText="1"/>
    </xf>
    <xf numFmtId="0" fontId="0" fillId="0" borderId="138" xfId="0" applyBorder="1" applyAlignment="1">
      <alignment vertical="center" wrapText="1"/>
    </xf>
    <xf numFmtId="1" fontId="10" fillId="34" borderId="43" xfId="0" applyNumberFormat="1" applyFont="1" applyFill="1" applyBorder="1" applyAlignment="1" applyProtection="1">
      <alignment horizontal="center" vertical="center"/>
      <protection hidden="1"/>
    </xf>
    <xf numFmtId="49" fontId="5" fillId="33" borderId="35" xfId="0" applyNumberFormat="1" applyFont="1" applyFill="1" applyBorder="1" applyAlignment="1" applyProtection="1">
      <alignment horizontal="right" vertical="center"/>
      <protection hidden="1"/>
    </xf>
    <xf numFmtId="1" fontId="6" fillId="33" borderId="16" xfId="0" applyNumberFormat="1" applyFont="1" applyFill="1" applyBorder="1" applyAlignment="1" applyProtection="1">
      <alignment vertical="center"/>
      <protection hidden="1"/>
    </xf>
    <xf numFmtId="0" fontId="0" fillId="39" borderId="0" xfId="0" applyFill="1" applyBorder="1" applyAlignment="1">
      <alignment horizontal="center" vertical="center"/>
    </xf>
    <xf numFmtId="0" fontId="119" fillId="39" borderId="49" xfId="0" applyFont="1" applyFill="1" applyBorder="1" applyAlignment="1">
      <alignment horizontal="center" vertical="center"/>
    </xf>
    <xf numFmtId="0" fontId="119" fillId="39" borderId="0" xfId="0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 applyProtection="1">
      <alignment/>
      <protection hidden="1"/>
    </xf>
    <xf numFmtId="1" fontId="29" fillId="33" borderId="0" xfId="0" applyNumberFormat="1" applyFont="1" applyFill="1" applyBorder="1" applyAlignment="1" applyProtection="1">
      <alignment/>
      <protection hidden="1"/>
    </xf>
    <xf numFmtId="1" fontId="3" fillId="33" borderId="0" xfId="0" applyNumberFormat="1" applyFont="1" applyFill="1" applyBorder="1" applyAlignment="1" applyProtection="1">
      <alignment horizontal="center"/>
      <protection hidden="1"/>
    </xf>
    <xf numFmtId="1" fontId="10" fillId="33" borderId="0" xfId="0" applyNumberFormat="1" applyFont="1" applyFill="1" applyBorder="1" applyAlignment="1" applyProtection="1">
      <alignment horizontal="centerContinuous" vertical="center"/>
      <protection hidden="1"/>
    </xf>
    <xf numFmtId="0" fontId="0" fillId="0" borderId="12" xfId="0" applyBorder="1" applyAlignment="1" applyProtection="1">
      <alignment horizontal="centerContinuous" vertical="center"/>
      <protection hidden="1"/>
    </xf>
    <xf numFmtId="0" fontId="10" fillId="0" borderId="12" xfId="0" applyFont="1" applyBorder="1" applyAlignment="1" applyProtection="1" quotePrefix="1">
      <alignment horizontal="centerContinuous" vertical="center"/>
      <protection hidden="1"/>
    </xf>
    <xf numFmtId="0" fontId="10" fillId="0" borderId="13" xfId="0" applyFont="1" applyBorder="1" applyAlignment="1" applyProtection="1" quotePrefix="1">
      <alignment horizontal="centerContinuous" vertical="center"/>
      <protection hidden="1"/>
    </xf>
    <xf numFmtId="49" fontId="13" fillId="0" borderId="83" xfId="0" applyNumberFormat="1" applyFont="1" applyFill="1" applyBorder="1" applyAlignment="1" applyProtection="1">
      <alignment vertical="center"/>
      <protection hidden="1"/>
    </xf>
    <xf numFmtId="49" fontId="13" fillId="0" borderId="82" xfId="0" applyNumberFormat="1" applyFont="1" applyFill="1" applyBorder="1" applyAlignment="1" applyProtection="1">
      <alignment vertical="center"/>
      <protection hidden="1"/>
    </xf>
    <xf numFmtId="49" fontId="13" fillId="0" borderId="25" xfId="0" applyNumberFormat="1" applyFont="1" applyFill="1" applyBorder="1" applyAlignment="1" applyProtection="1">
      <alignment vertical="center"/>
      <protection hidden="1"/>
    </xf>
    <xf numFmtId="49" fontId="13" fillId="0" borderId="0" xfId="0" applyNumberFormat="1" applyFont="1" applyFill="1" applyBorder="1" applyAlignment="1" applyProtection="1">
      <alignment vertical="center"/>
      <protection hidden="1"/>
    </xf>
    <xf numFmtId="0" fontId="0" fillId="39" borderId="141" xfId="0" applyFill="1" applyBorder="1" applyAlignment="1">
      <alignment horizontal="center" vertical="center"/>
    </xf>
    <xf numFmtId="0" fontId="119" fillId="0" borderId="0" xfId="0" applyFont="1" applyBorder="1" applyAlignment="1">
      <alignment horizontal="center"/>
    </xf>
    <xf numFmtId="0" fontId="119" fillId="33" borderId="35" xfId="0" applyFont="1" applyFill="1" applyBorder="1" applyAlignment="1" applyProtection="1">
      <alignment horizontal="center" vertical="center"/>
      <protection hidden="1"/>
    </xf>
    <xf numFmtId="0" fontId="119" fillId="33" borderId="0" xfId="0" applyFont="1" applyFill="1" applyBorder="1" applyAlignment="1" applyProtection="1">
      <alignment horizontal="center" vertical="center"/>
      <protection hidden="1"/>
    </xf>
    <xf numFmtId="0" fontId="119" fillId="0" borderId="0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left" vertical="center"/>
      <protection hidden="1"/>
    </xf>
    <xf numFmtId="49" fontId="6" fillId="33" borderId="12" xfId="0" applyNumberFormat="1" applyFont="1" applyFill="1" applyBorder="1" applyAlignment="1" applyProtection="1">
      <alignment horizontal="center" vertical="center"/>
      <protection hidden="1"/>
    </xf>
    <xf numFmtId="49" fontId="6" fillId="33" borderId="13" xfId="0" applyNumberFormat="1" applyFont="1" applyFill="1" applyBorder="1" applyAlignment="1" applyProtection="1">
      <alignment horizontal="center" vertical="center"/>
      <protection hidden="1"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13" fillId="0" borderId="25" xfId="0" applyFont="1" applyFill="1" applyBorder="1" applyAlignment="1" applyProtection="1">
      <alignment horizontal="center" vertical="center"/>
      <protection hidden="1"/>
    </xf>
    <xf numFmtId="49" fontId="13" fillId="0" borderId="25" xfId="0" applyNumberFormat="1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49" fontId="13" fillId="0" borderId="10" xfId="0" applyNumberFormat="1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 quotePrefix="1">
      <alignment horizontal="left" vertical="center"/>
      <protection hidden="1"/>
    </xf>
    <xf numFmtId="0" fontId="6" fillId="0" borderId="12" xfId="0" applyFont="1" applyBorder="1" applyAlignment="1" applyProtection="1">
      <alignment horizontal="lef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7" fillId="0" borderId="12" xfId="0" applyFont="1" applyFill="1" applyBorder="1" applyAlignment="1" applyProtection="1">
      <alignment horizontal="left" vertical="center"/>
      <protection hidden="1"/>
    </xf>
    <xf numFmtId="0" fontId="0" fillId="33" borderId="12" xfId="0" applyFill="1" applyBorder="1" applyAlignment="1" applyProtection="1">
      <alignment horizontal="right"/>
      <protection hidden="1"/>
    </xf>
    <xf numFmtId="0" fontId="0" fillId="33" borderId="12" xfId="0" applyFill="1" applyBorder="1" applyAlignment="1">
      <alignment/>
    </xf>
    <xf numFmtId="49" fontId="13" fillId="0" borderId="81" xfId="0" applyNumberFormat="1" applyFont="1" applyFill="1" applyBorder="1" applyAlignment="1" applyProtection="1">
      <alignment horizontal="center" vertical="center"/>
      <protection hidden="1"/>
    </xf>
    <xf numFmtId="49" fontId="13" fillId="0" borderId="83" xfId="0" applyNumberFormat="1" applyFont="1" applyFill="1" applyBorder="1" applyAlignment="1" applyProtection="1">
      <alignment horizontal="center" vertical="center"/>
      <protection hidden="1"/>
    </xf>
    <xf numFmtId="49" fontId="13" fillId="0" borderId="142" xfId="0" applyNumberFormat="1" applyFont="1" applyFill="1" applyBorder="1" applyAlignment="1" applyProtection="1">
      <alignment horizontal="center" vertical="center"/>
      <protection hidden="1"/>
    </xf>
    <xf numFmtId="1" fontId="6" fillId="33" borderId="27" xfId="0" applyNumberFormat="1" applyFont="1" applyFill="1" applyBorder="1" applyAlignment="1" applyProtection="1">
      <alignment horizontal="center" vertical="center"/>
      <protection hidden="1"/>
    </xf>
    <xf numFmtId="1" fontId="6" fillId="33" borderId="15" xfId="0" applyNumberFormat="1" applyFont="1" applyFill="1" applyBorder="1" applyAlignment="1" applyProtection="1">
      <alignment horizontal="center" vertical="center"/>
      <protection hidden="1"/>
    </xf>
    <xf numFmtId="0" fontId="26" fillId="0" borderId="10" xfId="0" applyFont="1" applyFill="1" applyBorder="1" applyAlignment="1" applyProtection="1">
      <alignment horizontal="left" vertical="center" wrapText="1"/>
      <protection hidden="1"/>
    </xf>
    <xf numFmtId="0" fontId="26" fillId="0" borderId="25" xfId="0" applyFont="1" applyFill="1" applyBorder="1" applyAlignment="1" applyProtection="1">
      <alignment horizontal="left" vertical="center" wrapText="1"/>
      <protection hidden="1"/>
    </xf>
    <xf numFmtId="0" fontId="17" fillId="33" borderId="10" xfId="0" applyFont="1" applyFill="1" applyBorder="1" applyAlignment="1" applyProtection="1">
      <alignment horizontal="center" vertical="center"/>
      <protection hidden="1"/>
    </xf>
    <xf numFmtId="0" fontId="17" fillId="33" borderId="10" xfId="0" applyFont="1" applyFill="1" applyBorder="1" applyAlignment="1" applyProtection="1" quotePrefix="1">
      <alignment horizontal="center" vertical="center"/>
      <protection hidden="1"/>
    </xf>
    <xf numFmtId="1" fontId="10" fillId="0" borderId="27" xfId="0" applyNumberFormat="1" applyFont="1" applyBorder="1" applyAlignment="1" applyProtection="1">
      <alignment horizontal="center" vertical="center"/>
      <protection hidden="1"/>
    </xf>
    <xf numFmtId="1" fontId="10" fillId="0" borderId="10" xfId="0" applyNumberFormat="1" applyFont="1" applyBorder="1" applyAlignment="1" applyProtection="1">
      <alignment horizontal="center" vertical="center"/>
      <protection hidden="1"/>
    </xf>
    <xf numFmtId="1" fontId="10" fillId="0" borderId="43" xfId="0" applyNumberFormat="1" applyFont="1" applyBorder="1" applyAlignment="1" applyProtection="1">
      <alignment horizontal="center" vertical="center"/>
      <protection hidden="1"/>
    </xf>
    <xf numFmtId="49" fontId="13" fillId="0" borderId="50" xfId="0" applyNumberFormat="1" applyFont="1" applyFill="1" applyBorder="1" applyAlignment="1" applyProtection="1">
      <alignment horizontal="center" vertical="center"/>
      <protection hidden="1"/>
    </xf>
    <xf numFmtId="49" fontId="13" fillId="0" borderId="12" xfId="0" applyNumberFormat="1" applyFont="1" applyFill="1" applyBorder="1" applyAlignment="1" applyProtection="1">
      <alignment horizontal="center" vertical="center"/>
      <protection hidden="1"/>
    </xf>
    <xf numFmtId="49" fontId="13" fillId="0" borderId="42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 applyProtection="1">
      <alignment horizontal="left" vertical="center" wrapText="1"/>
      <protection hidden="1"/>
    </xf>
    <xf numFmtId="0" fontId="5" fillId="0" borderId="25" xfId="0" applyFont="1" applyBorder="1" applyAlignment="1" applyProtection="1">
      <alignment horizontal="left" vertical="center" wrapText="1"/>
      <protection hidden="1"/>
    </xf>
    <xf numFmtId="49" fontId="13" fillId="0" borderId="27" xfId="0" applyNumberFormat="1" applyFont="1" applyFill="1" applyBorder="1" applyAlignment="1" applyProtection="1">
      <alignment horizontal="center" vertical="center"/>
      <protection hidden="1"/>
    </xf>
    <xf numFmtId="49" fontId="13" fillId="0" borderId="10" xfId="0" applyNumberFormat="1" applyFont="1" applyFill="1" applyBorder="1" applyAlignment="1" applyProtection="1">
      <alignment horizontal="center" vertical="center"/>
      <protection hidden="1"/>
    </xf>
    <xf numFmtId="49" fontId="13" fillId="0" borderId="43" xfId="0" applyNumberFormat="1" applyFont="1" applyFill="1" applyBorder="1" applyAlignment="1" applyProtection="1">
      <alignment horizontal="center" vertical="center"/>
      <protection hidden="1"/>
    </xf>
    <xf numFmtId="0" fontId="11" fillId="33" borderId="21" xfId="0" applyFont="1" applyFill="1" applyBorder="1" applyAlignment="1" applyProtection="1">
      <alignment horizontal="center" vertical="center" wrapText="1"/>
      <protection hidden="1"/>
    </xf>
    <xf numFmtId="0" fontId="11" fillId="33" borderId="10" xfId="0" applyFont="1" applyFill="1" applyBorder="1" applyAlignment="1" applyProtection="1">
      <alignment horizontal="center" vertical="center" wrapText="1"/>
      <protection hidden="1"/>
    </xf>
    <xf numFmtId="0" fontId="9" fillId="0" borderId="10" xfId="35" applyFont="1" applyBorder="1" applyAlignment="1" applyProtection="1">
      <alignment horizontal="left" vertical="center"/>
      <protection hidden="1"/>
    </xf>
    <xf numFmtId="0" fontId="9" fillId="0" borderId="25" xfId="35" applyFont="1" applyBorder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0" fontId="5" fillId="0" borderId="25" xfId="0" applyFont="1" applyBorder="1" applyAlignment="1" applyProtection="1">
      <alignment horizontal="left" vertical="center"/>
      <protection hidden="1"/>
    </xf>
    <xf numFmtId="0" fontId="26" fillId="0" borderId="10" xfId="0" applyFont="1" applyFill="1" applyBorder="1" applyAlignment="1" applyProtection="1">
      <alignment horizontal="left" vertical="center"/>
      <protection hidden="1"/>
    </xf>
    <xf numFmtId="0" fontId="26" fillId="0" borderId="25" xfId="0" applyFont="1" applyFill="1" applyBorder="1" applyAlignment="1" applyProtection="1">
      <alignment horizontal="left" vertical="center"/>
      <protection hidden="1"/>
    </xf>
    <xf numFmtId="0" fontId="9" fillId="0" borderId="10" xfId="0" applyFont="1" applyBorder="1" applyAlignment="1" applyProtection="1">
      <alignment horizontal="left" vertical="center"/>
      <protection hidden="1"/>
    </xf>
    <xf numFmtId="0" fontId="9" fillId="0" borderId="10" xfId="0" applyFont="1" applyBorder="1" applyAlignment="1" applyProtection="1" quotePrefix="1">
      <alignment horizontal="left" vertical="center"/>
      <protection hidden="1"/>
    </xf>
    <xf numFmtId="0" fontId="9" fillId="0" borderId="25" xfId="0" applyFont="1" applyBorder="1" applyAlignment="1" applyProtection="1" quotePrefix="1">
      <alignment horizontal="left" vertical="center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0" fontId="5" fillId="0" borderId="25" xfId="0" applyFont="1" applyBorder="1" applyAlignment="1" applyProtection="1">
      <alignment horizontal="left" vertical="center"/>
      <protection hidden="1"/>
    </xf>
    <xf numFmtId="0" fontId="9" fillId="0" borderId="10" xfId="35" applyFont="1" applyBorder="1" applyAlignment="1" applyProtection="1" quotePrefix="1">
      <alignment horizontal="left" vertical="center"/>
      <protection hidden="1"/>
    </xf>
    <xf numFmtId="0" fontId="9" fillId="0" borderId="25" xfId="35" applyFont="1" applyBorder="1" applyAlignment="1" applyProtection="1" quotePrefix="1">
      <alignment horizontal="left"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0" fontId="13" fillId="0" borderId="27" xfId="0" applyFont="1" applyFill="1" applyBorder="1" applyAlignment="1" applyProtection="1">
      <alignment horizontal="center" vertical="center"/>
      <protection hidden="1"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13" fillId="0" borderId="43" xfId="0" applyFont="1" applyFill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0" fontId="6" fillId="0" borderId="25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 applyProtection="1" quotePrefix="1">
      <alignment horizontal="left" vertical="center" wrapText="1"/>
      <protection hidden="1"/>
    </xf>
    <xf numFmtId="0" fontId="6" fillId="0" borderId="25" xfId="0" applyFont="1" applyBorder="1" applyAlignment="1" applyProtection="1" quotePrefix="1">
      <alignment horizontal="left" vertical="center" wrapText="1"/>
      <protection hidden="1"/>
    </xf>
    <xf numFmtId="0" fontId="5" fillId="0" borderId="25" xfId="0" applyFont="1" applyBorder="1" applyAlignment="1" applyProtection="1">
      <alignment horizontal="left" vertical="center"/>
      <protection hidden="1"/>
    </xf>
    <xf numFmtId="49" fontId="10" fillId="0" borderId="27" xfId="0" applyNumberFormat="1" applyFont="1" applyBorder="1" applyAlignment="1" applyProtection="1">
      <alignment horizontal="center" vertical="center"/>
      <protection hidden="1"/>
    </xf>
    <xf numFmtId="49" fontId="10" fillId="0" borderId="10" xfId="0" applyNumberFormat="1" applyFont="1" applyBorder="1" applyAlignment="1" applyProtection="1">
      <alignment horizontal="center" vertical="center"/>
      <protection hidden="1"/>
    </xf>
    <xf numFmtId="49" fontId="10" fillId="0" borderId="43" xfId="0" applyNumberFormat="1" applyFont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5" fillId="0" borderId="25" xfId="0" applyFont="1" applyFill="1" applyBorder="1" applyAlignment="1" applyProtection="1">
      <alignment horizontal="left" vertical="center"/>
      <protection hidden="1"/>
    </xf>
    <xf numFmtId="0" fontId="12" fillId="33" borderId="11" xfId="0" applyFont="1" applyFill="1" applyBorder="1" applyAlignment="1" quotePrefix="1">
      <alignment/>
    </xf>
    <xf numFmtId="0" fontId="0" fillId="0" borderId="11" xfId="0" applyBorder="1" applyAlignment="1">
      <alignment/>
    </xf>
    <xf numFmtId="1" fontId="6" fillId="33" borderId="49" xfId="0" applyNumberFormat="1" applyFont="1" applyFill="1" applyBorder="1" applyAlignment="1" applyProtection="1">
      <alignment horizontal="center" vertical="center"/>
      <protection hidden="1"/>
    </xf>
    <xf numFmtId="1" fontId="6" fillId="33" borderId="95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left" vertical="center"/>
      <protection hidden="1"/>
    </xf>
    <xf numFmtId="0" fontId="6" fillId="0" borderId="11" xfId="0" applyFont="1" applyBorder="1" applyAlignment="1" applyProtection="1" quotePrefix="1">
      <alignment horizontal="left" vertical="center"/>
      <protection hidden="1"/>
    </xf>
    <xf numFmtId="0" fontId="17" fillId="33" borderId="10" xfId="35" applyFont="1" applyFill="1" applyBorder="1" applyAlignment="1" applyProtection="1">
      <alignment horizontal="left" vertical="center" wrapText="1"/>
      <protection hidden="1"/>
    </xf>
    <xf numFmtId="1" fontId="5" fillId="0" borderId="27" xfId="0" applyNumberFormat="1" applyFont="1" applyFill="1" applyBorder="1" applyAlignment="1" applyProtection="1">
      <alignment horizontal="center" vertic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49" fontId="13" fillId="0" borderId="27" xfId="0" applyNumberFormat="1" applyFont="1" applyBorder="1" applyAlignment="1" applyProtection="1">
      <alignment horizontal="center" vertical="center"/>
      <protection hidden="1"/>
    </xf>
    <xf numFmtId="49" fontId="13" fillId="0" borderId="10" xfId="0" applyNumberFormat="1" applyFont="1" applyBorder="1" applyAlignment="1" applyProtection="1">
      <alignment horizontal="center" vertical="center"/>
      <protection hidden="1"/>
    </xf>
    <xf numFmtId="49" fontId="13" fillId="0" borderId="43" xfId="0" applyNumberFormat="1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 quotePrefix="1">
      <alignment horizontal="left" vertical="center"/>
      <protection hidden="1"/>
    </xf>
    <xf numFmtId="0" fontId="5" fillId="0" borderId="25" xfId="0" applyFont="1" applyBorder="1" applyAlignment="1" applyProtection="1" quotePrefix="1">
      <alignment horizontal="left" vertical="center"/>
      <protection hidden="1"/>
    </xf>
    <xf numFmtId="0" fontId="17" fillId="33" borderId="24" xfId="0" applyFont="1" applyFill="1" applyBorder="1" applyAlignment="1" applyProtection="1" quotePrefix="1">
      <alignment horizontal="center" vertical="center" wrapText="1"/>
      <protection hidden="1"/>
    </xf>
    <xf numFmtId="0" fontId="17" fillId="33" borderId="11" xfId="0" applyFont="1" applyFill="1" applyBorder="1" applyAlignment="1" applyProtection="1" quotePrefix="1">
      <alignment horizontal="center" vertical="center" wrapText="1"/>
      <protection hidden="1"/>
    </xf>
    <xf numFmtId="0" fontId="17" fillId="33" borderId="17" xfId="0" applyFont="1" applyFill="1" applyBorder="1" applyAlignment="1" applyProtection="1" quotePrefix="1">
      <alignment horizontal="center" vertical="center" wrapText="1"/>
      <protection hidden="1"/>
    </xf>
    <xf numFmtId="0" fontId="17" fillId="33" borderId="0" xfId="0" applyFont="1" applyFill="1" applyBorder="1" applyAlignment="1" applyProtection="1" quotePrefix="1">
      <alignment horizontal="center" vertical="center" wrapText="1"/>
      <protection hidden="1"/>
    </xf>
    <xf numFmtId="0" fontId="17" fillId="33" borderId="29" xfId="0" applyFont="1" applyFill="1" applyBorder="1" applyAlignment="1" applyProtection="1" quotePrefix="1">
      <alignment horizontal="center" vertical="center" wrapText="1"/>
      <protection hidden="1"/>
    </xf>
    <xf numFmtId="0" fontId="17" fillId="33" borderId="12" xfId="0" applyFont="1" applyFill="1" applyBorder="1" applyAlignment="1" applyProtection="1" quotePrefix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0" fontId="6" fillId="0" borderId="11" xfId="0" applyFont="1" applyFill="1" applyBorder="1" applyAlignment="1" applyProtection="1">
      <alignment horizontal="left" vertical="center"/>
      <protection hidden="1"/>
    </xf>
    <xf numFmtId="0" fontId="6" fillId="0" borderId="25" xfId="0" applyFont="1" applyBorder="1" applyAlignment="1" applyProtection="1">
      <alignment horizontal="left" vertical="center"/>
      <protection hidden="1"/>
    </xf>
    <xf numFmtId="0" fontId="0" fillId="40" borderId="0" xfId="0" applyFill="1" applyBorder="1" applyAlignment="1" applyProtection="1">
      <alignment horizontal="center" vertical="center"/>
      <protection hidden="1"/>
    </xf>
    <xf numFmtId="0" fontId="21" fillId="0" borderId="10" xfId="33" applyFont="1" applyFill="1" applyBorder="1" applyAlignment="1" applyProtection="1">
      <alignment horizontal="left" vertical="center"/>
      <protection hidden="1"/>
    </xf>
    <xf numFmtId="0" fontId="21" fillId="0" borderId="25" xfId="33" applyFont="1" applyFill="1" applyBorder="1" applyAlignment="1" applyProtection="1">
      <alignment horizontal="left" vertical="center"/>
      <protection hidden="1"/>
    </xf>
    <xf numFmtId="0" fontId="21" fillId="0" borderId="10" xfId="0" applyFont="1" applyFill="1" applyBorder="1" applyAlignment="1" applyProtection="1">
      <alignment horizontal="left" vertical="center"/>
      <protection hidden="1"/>
    </xf>
    <xf numFmtId="0" fontId="21" fillId="0" borderId="25" xfId="0" applyFont="1" applyFill="1" applyBorder="1" applyAlignment="1" applyProtection="1">
      <alignment horizontal="left" vertical="center"/>
      <protection hidden="1"/>
    </xf>
    <xf numFmtId="0" fontId="10" fillId="0" borderId="27" xfId="0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10" fillId="0" borderId="43" xfId="0" applyFont="1" applyFill="1" applyBorder="1" applyAlignment="1" applyProtection="1">
      <alignment horizontal="center" vertical="center"/>
      <protection hidden="1"/>
    </xf>
    <xf numFmtId="49" fontId="26" fillId="33" borderId="27" xfId="0" applyNumberFormat="1" applyFont="1" applyFill="1" applyBorder="1" applyAlignment="1" applyProtection="1">
      <alignment horizontal="center" wrapText="1"/>
      <protection hidden="1"/>
    </xf>
    <xf numFmtId="49" fontId="26" fillId="33" borderId="10" xfId="0" applyNumberFormat="1" applyFont="1" applyFill="1" applyBorder="1" applyAlignment="1" applyProtection="1">
      <alignment horizontal="center" wrapText="1"/>
      <protection hidden="1"/>
    </xf>
    <xf numFmtId="49" fontId="26" fillId="33" borderId="43" xfId="0" applyNumberFormat="1" applyFont="1" applyFill="1" applyBorder="1" applyAlignment="1" applyProtection="1">
      <alignment horizontal="center" wrapText="1"/>
      <protection hidden="1"/>
    </xf>
    <xf numFmtId="0" fontId="10" fillId="33" borderId="10" xfId="0" applyFont="1" applyFill="1" applyBorder="1" applyAlignment="1" applyProtection="1">
      <alignment horizontal="center" vertical="center" wrapText="1"/>
      <protection hidden="1"/>
    </xf>
    <xf numFmtId="49" fontId="0" fillId="40" borderId="12" xfId="0" applyNumberFormat="1" applyFill="1" applyBorder="1" applyAlignment="1">
      <alignment horizontal="center"/>
    </xf>
    <xf numFmtId="49" fontId="0" fillId="40" borderId="42" xfId="0" applyNumberFormat="1" applyFill="1" applyBorder="1" applyAlignment="1">
      <alignment horizontal="center"/>
    </xf>
    <xf numFmtId="0" fontId="121" fillId="0" borderId="0" xfId="0" applyFont="1" applyFill="1" applyBorder="1" applyAlignment="1" applyProtection="1">
      <alignment vertical="center"/>
      <protection hidden="1"/>
    </xf>
    <xf numFmtId="0" fontId="121" fillId="0" borderId="0" xfId="0" applyFont="1" applyBorder="1" applyAlignment="1">
      <alignment vertical="center"/>
    </xf>
    <xf numFmtId="0" fontId="121" fillId="0" borderId="10" xfId="0" applyFont="1" applyBorder="1" applyAlignment="1" applyProtection="1">
      <alignment horizontal="left" vertical="center"/>
      <protection hidden="1"/>
    </xf>
    <xf numFmtId="0" fontId="121" fillId="0" borderId="10" xfId="0" applyFont="1" applyBorder="1" applyAlignment="1">
      <alignment vertical="center"/>
    </xf>
    <xf numFmtId="0" fontId="121" fillId="0" borderId="25" xfId="0" applyFont="1" applyBorder="1" applyAlignment="1">
      <alignment vertical="center"/>
    </xf>
    <xf numFmtId="49" fontId="10" fillId="0" borderId="49" xfId="0" applyNumberFormat="1" applyFont="1" applyBorder="1" applyAlignment="1" applyProtection="1">
      <alignment horizontal="center" vertical="center"/>
      <protection hidden="1"/>
    </xf>
    <xf numFmtId="49" fontId="10" fillId="0" borderId="0" xfId="0" applyNumberFormat="1" applyFont="1" applyBorder="1" applyAlignment="1" applyProtection="1">
      <alignment horizontal="center" vertical="center"/>
      <protection hidden="1"/>
    </xf>
    <xf numFmtId="49" fontId="10" fillId="0" borderId="36" xfId="0" applyNumberFormat="1" applyFont="1" applyBorder="1" applyAlignment="1" applyProtection="1">
      <alignment horizontal="center" vertical="center"/>
      <protection hidden="1"/>
    </xf>
    <xf numFmtId="0" fontId="10" fillId="0" borderId="26" xfId="0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10" fillId="0" borderId="41" xfId="0" applyFont="1" applyFill="1" applyBorder="1" applyAlignment="1" applyProtection="1">
      <alignment horizontal="center" vertical="center"/>
      <protection hidden="1"/>
    </xf>
    <xf numFmtId="49" fontId="8" fillId="33" borderId="27" xfId="0" applyNumberFormat="1" applyFont="1" applyFill="1" applyBorder="1" applyAlignment="1" applyProtection="1">
      <alignment horizontal="center"/>
      <protection hidden="1"/>
    </xf>
    <xf numFmtId="49" fontId="8" fillId="33" borderId="10" xfId="0" applyNumberFormat="1" applyFont="1" applyFill="1" applyBorder="1" applyAlignment="1" applyProtection="1">
      <alignment horizontal="center"/>
      <protection hidden="1"/>
    </xf>
    <xf numFmtId="49" fontId="8" fillId="33" borderId="43" xfId="0" applyNumberFormat="1" applyFont="1" applyFill="1" applyBorder="1" applyAlignment="1" applyProtection="1">
      <alignment horizontal="center"/>
      <protection hidden="1"/>
    </xf>
    <xf numFmtId="0" fontId="5" fillId="0" borderId="10" xfId="0" applyFont="1" applyBorder="1" applyAlignment="1" applyProtection="1" quotePrefix="1">
      <alignment horizontal="left" vertical="center"/>
      <protection hidden="1"/>
    </xf>
    <xf numFmtId="0" fontId="24" fillId="40" borderId="0" xfId="0" applyFont="1" applyFill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 quotePrefix="1">
      <alignment horizontal="left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vertical="center"/>
      <protection hidden="1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vertical="center"/>
    </xf>
    <xf numFmtId="0" fontId="10" fillId="33" borderId="1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/>
    </xf>
    <xf numFmtId="0" fontId="10" fillId="33" borderId="16" xfId="0" applyFont="1" applyFill="1" applyBorder="1" applyAlignment="1" applyProtection="1">
      <alignment horizontal="center" vertical="center" wrapText="1"/>
      <protection hidden="1"/>
    </xf>
    <xf numFmtId="0" fontId="10" fillId="33" borderId="16" xfId="0" applyFont="1" applyFill="1" applyBorder="1" applyAlignment="1" applyProtection="1" quotePrefix="1">
      <alignment horizontal="center" vertical="center" wrapText="1"/>
      <protection hidden="1"/>
    </xf>
    <xf numFmtId="0" fontId="10" fillId="33" borderId="21" xfId="0" applyFont="1" applyFill="1" applyBorder="1" applyAlignment="1" applyProtection="1" quotePrefix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0" fontId="10" fillId="0" borderId="25" xfId="0" applyFont="1" applyFill="1" applyBorder="1" applyAlignment="1" applyProtection="1">
      <alignment horizontal="left" vertical="center" wrapText="1"/>
      <protection hidden="1"/>
    </xf>
    <xf numFmtId="0" fontId="34" fillId="33" borderId="35" xfId="0" applyFont="1" applyFill="1" applyBorder="1" applyAlignment="1" applyProtection="1">
      <alignment vertical="center"/>
      <protection hidden="1"/>
    </xf>
    <xf numFmtId="0" fontId="34" fillId="33" borderId="0" xfId="0" applyFont="1" applyFill="1" applyBorder="1" applyAlignment="1" applyProtection="1">
      <alignment vertical="center"/>
      <protection hidden="1"/>
    </xf>
    <xf numFmtId="0" fontId="10" fillId="0" borderId="10" xfId="0" applyFont="1" applyFill="1" applyBorder="1" applyAlignment="1" applyProtection="1">
      <alignment horizontal="left" vertical="center"/>
      <protection hidden="1"/>
    </xf>
    <xf numFmtId="0" fontId="8" fillId="33" borderId="10" xfId="0" applyFont="1" applyFill="1" applyBorder="1" applyAlignment="1" applyProtection="1">
      <alignment horizontal="center"/>
      <protection hidden="1"/>
    </xf>
    <xf numFmtId="0" fontId="8" fillId="33" borderId="25" xfId="0" applyFont="1" applyFill="1" applyBorder="1" applyAlignment="1" applyProtection="1">
      <alignment horizont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left" vertical="center" wrapText="1"/>
      <protection hidden="1"/>
    </xf>
    <xf numFmtId="0" fontId="10" fillId="0" borderId="25" xfId="0" applyFont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 applyProtection="1">
      <alignment vertical="center" wrapText="1"/>
      <protection hidden="1"/>
    </xf>
    <xf numFmtId="0" fontId="0" fillId="0" borderId="1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" fontId="9" fillId="0" borderId="21" xfId="0" applyNumberFormat="1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>
      <alignment/>
    </xf>
    <xf numFmtId="0" fontId="9" fillId="0" borderId="25" xfId="0" applyFont="1" applyBorder="1" applyAlignment="1">
      <alignment/>
    </xf>
    <xf numFmtId="0" fontId="10" fillId="0" borderId="25" xfId="0" applyFont="1" applyFill="1" applyBorder="1" applyAlignment="1" applyProtection="1">
      <alignment horizontal="center" vertical="center"/>
      <protection hidden="1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9" fillId="0" borderId="25" xfId="0" applyFont="1" applyFill="1" applyBorder="1" applyAlignment="1" applyProtection="1">
      <alignment horizontal="center" vertical="center"/>
      <protection hidden="1"/>
    </xf>
    <xf numFmtId="1" fontId="9" fillId="0" borderId="21" xfId="0" applyNumberFormat="1" applyFont="1" applyFill="1" applyBorder="1" applyAlignment="1" applyProtection="1">
      <alignment horizontal="center" vertical="center"/>
      <protection hidden="1"/>
    </xf>
    <xf numFmtId="1" fontId="9" fillId="0" borderId="10" xfId="0" applyNumberFormat="1" applyFont="1" applyFill="1" applyBorder="1" applyAlignment="1" applyProtection="1">
      <alignment horizontal="center" vertical="center"/>
      <protection hidden="1"/>
    </xf>
    <xf numFmtId="1" fontId="9" fillId="0" borderId="25" xfId="0" applyNumberFormat="1" applyFont="1" applyFill="1" applyBorder="1" applyAlignment="1" applyProtection="1">
      <alignment horizontal="center" vertical="center"/>
      <protection hidden="1"/>
    </xf>
    <xf numFmtId="49" fontId="35" fillId="40" borderId="27" xfId="0" applyNumberFormat="1" applyFont="1" applyFill="1" applyBorder="1" applyAlignment="1">
      <alignment horizontal="center" wrapText="1"/>
    </xf>
    <xf numFmtId="49" fontId="35" fillId="40" borderId="25" xfId="0" applyNumberFormat="1" applyFont="1" applyFill="1" applyBorder="1" applyAlignment="1">
      <alignment horizontal="center" wrapText="1"/>
    </xf>
    <xf numFmtId="49" fontId="10" fillId="0" borderId="10" xfId="0" applyNumberFormat="1" applyFont="1" applyBorder="1" applyAlignment="1" applyProtection="1">
      <alignment horizontal="center" vertical="center" wrapText="1"/>
      <protection hidden="1"/>
    </xf>
    <xf numFmtId="49" fontId="10" fillId="0" borderId="25" xfId="0" applyNumberFormat="1" applyFont="1" applyBorder="1" applyAlignment="1" applyProtection="1">
      <alignment horizontal="center" vertical="center" wrapText="1"/>
      <protection hidden="1"/>
    </xf>
    <xf numFmtId="49" fontId="6" fillId="33" borderId="33" xfId="0" applyNumberFormat="1" applyFont="1" applyFill="1" applyBorder="1" applyAlignment="1" applyProtection="1">
      <alignment horizontal="center" vertical="center" wrapText="1"/>
      <protection hidden="1"/>
    </xf>
    <xf numFmtId="49" fontId="6" fillId="33" borderId="5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 quotePrefix="1">
      <alignment horizontal="left" vertical="center"/>
      <protection hidden="1"/>
    </xf>
    <xf numFmtId="0" fontId="6" fillId="0" borderId="21" xfId="0" applyFont="1" applyBorder="1" applyAlignment="1" applyProtection="1">
      <alignment horizontal="left" vertical="center"/>
      <protection hidden="1"/>
    </xf>
    <xf numFmtId="0" fontId="6" fillId="0" borderId="15" xfId="0" applyFont="1" applyBorder="1" applyAlignment="1" applyProtection="1" quotePrefix="1">
      <alignment horizontal="left" vertical="center"/>
      <protection hidden="1"/>
    </xf>
    <xf numFmtId="49" fontId="13" fillId="0" borderId="82" xfId="0" applyNumberFormat="1" applyFont="1" applyFill="1" applyBorder="1" applyAlignment="1" applyProtection="1">
      <alignment horizontal="center" vertical="center"/>
      <protection hidden="1"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13" fillId="0" borderId="25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 wrapText="1"/>
      <protection hidden="1"/>
    </xf>
    <xf numFmtId="49" fontId="13" fillId="0" borderId="25" xfId="0" applyNumberFormat="1" applyFont="1" applyBorder="1" applyAlignment="1" applyProtection="1">
      <alignment horizontal="center" vertical="center"/>
      <protection hidden="1"/>
    </xf>
    <xf numFmtId="0" fontId="119" fillId="0" borderId="68" xfId="0" applyFont="1" applyBorder="1" applyAlignment="1">
      <alignment horizontal="left"/>
    </xf>
    <xf numFmtId="0" fontId="119" fillId="0" borderId="74" xfId="0" applyFont="1" applyBorder="1" applyAlignment="1">
      <alignment horizontal="left"/>
    </xf>
    <xf numFmtId="0" fontId="119" fillId="0" borderId="62" xfId="0" applyFont="1" applyBorder="1" applyAlignment="1">
      <alignment horizontal="left"/>
    </xf>
    <xf numFmtId="0" fontId="120" fillId="40" borderId="143" xfId="0" applyFont="1" applyFill="1" applyBorder="1" applyAlignment="1">
      <alignment horizontal="center" vertical="center" wrapText="1"/>
    </xf>
    <xf numFmtId="0" fontId="120" fillId="40" borderId="33" xfId="0" applyFont="1" applyFill="1" applyBorder="1" applyAlignment="1">
      <alignment horizontal="center" vertical="center" wrapText="1"/>
    </xf>
    <xf numFmtId="0" fontId="120" fillId="40" borderId="39" xfId="0" applyFont="1" applyFill="1" applyBorder="1" applyAlignment="1">
      <alignment horizontal="center" vertical="center" wrapText="1"/>
    </xf>
    <xf numFmtId="0" fontId="120" fillId="39" borderId="35" xfId="0" applyFont="1" applyFill="1" applyBorder="1" applyAlignment="1">
      <alignment horizontal="center" vertical="center"/>
    </xf>
    <xf numFmtId="0" fontId="109" fillId="39" borderId="0" xfId="0" applyFont="1" applyFill="1" applyBorder="1" applyAlignment="1">
      <alignment horizontal="center" vertical="center"/>
    </xf>
    <xf numFmtId="0" fontId="119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36" xfId="0" applyFill="1" applyBorder="1" applyAlignment="1">
      <alignment/>
    </xf>
    <xf numFmtId="0" fontId="119" fillId="0" borderId="0" xfId="0" applyFont="1" applyBorder="1" applyAlignment="1">
      <alignment/>
    </xf>
    <xf numFmtId="0" fontId="119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119" fillId="39" borderId="35" xfId="0" applyFont="1" applyFill="1" applyBorder="1" applyAlignment="1">
      <alignment/>
    </xf>
    <xf numFmtId="0" fontId="119" fillId="0" borderId="124" xfId="0" applyFont="1" applyBorder="1" applyAlignment="1">
      <alignment/>
    </xf>
    <xf numFmtId="0" fontId="119" fillId="0" borderId="33" xfId="0" applyFont="1" applyBorder="1" applyAlignment="1">
      <alignment/>
    </xf>
    <xf numFmtId="0" fontId="119" fillId="0" borderId="39" xfId="0" applyFont="1" applyBorder="1" applyAlignment="1">
      <alignment/>
    </xf>
    <xf numFmtId="0" fontId="119" fillId="0" borderId="2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3" xfId="0" applyBorder="1" applyAlignment="1">
      <alignment horizontal="center"/>
    </xf>
    <xf numFmtId="0" fontId="119" fillId="39" borderId="64" xfId="0" applyFont="1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42" xfId="0" applyFill="1" applyBorder="1" applyAlignment="1">
      <alignment/>
    </xf>
    <xf numFmtId="0" fontId="119" fillId="0" borderId="2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2" xfId="0" applyBorder="1" applyAlignment="1">
      <alignment horizontal="center"/>
    </xf>
    <xf numFmtId="0" fontId="119" fillId="39" borderId="103" xfId="0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43" xfId="0" applyFill="1" applyBorder="1" applyAlignment="1">
      <alignment/>
    </xf>
    <xf numFmtId="0" fontId="119" fillId="0" borderId="48" xfId="0" applyFont="1" applyBorder="1" applyAlignment="1">
      <alignment/>
    </xf>
    <xf numFmtId="0" fontId="119" fillId="0" borderId="32" xfId="0" applyFont="1" applyBorder="1" applyAlignment="1">
      <alignment/>
    </xf>
    <xf numFmtId="0" fontId="119" fillId="0" borderId="38" xfId="0" applyFont="1" applyBorder="1" applyAlignment="1">
      <alignment/>
    </xf>
    <xf numFmtId="0" fontId="119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0" fontId="119" fillId="39" borderId="44" xfId="0" applyFont="1" applyFill="1" applyBorder="1" applyAlignment="1">
      <alignment horizontal="center"/>
    </xf>
    <xf numFmtId="0" fontId="0" fillId="39" borderId="44" xfId="0" applyFill="1" applyBorder="1" applyAlignment="1">
      <alignment horizontal="center"/>
    </xf>
    <xf numFmtId="0" fontId="0" fillId="39" borderId="144" xfId="0" applyFill="1" applyBorder="1" applyAlignment="1">
      <alignment horizontal="center"/>
    </xf>
    <xf numFmtId="0" fontId="119" fillId="0" borderId="145" xfId="0" applyFont="1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146" xfId="0" applyBorder="1" applyAlignment="1">
      <alignment horizontal="center"/>
    </xf>
    <xf numFmtId="0" fontId="119" fillId="0" borderId="0" xfId="0" applyFont="1" applyBorder="1" applyAlignment="1">
      <alignment horizontal="center"/>
    </xf>
    <xf numFmtId="0" fontId="119" fillId="0" borderId="68" xfId="0" applyFont="1" applyBorder="1" applyAlignment="1">
      <alignment horizontal="center" vertical="center"/>
    </xf>
    <xf numFmtId="0" fontId="119" fillId="0" borderId="74" xfId="0" applyFont="1" applyBorder="1" applyAlignment="1">
      <alignment horizontal="center" vertical="center"/>
    </xf>
    <xf numFmtId="0" fontId="119" fillId="0" borderId="62" xfId="0" applyFont="1" applyBorder="1" applyAlignment="1">
      <alignment horizontal="center" vertical="center"/>
    </xf>
    <xf numFmtId="0" fontId="119" fillId="39" borderId="147" xfId="0" applyFont="1" applyFill="1" applyBorder="1" applyAlignment="1">
      <alignment horizontal="center"/>
    </xf>
    <xf numFmtId="0" fontId="119" fillId="39" borderId="148" xfId="0" applyFont="1" applyFill="1" applyBorder="1" applyAlignment="1">
      <alignment horizontal="center"/>
    </xf>
    <xf numFmtId="0" fontId="121" fillId="0" borderId="149" xfId="0" applyFont="1" applyBorder="1" applyAlignment="1">
      <alignment horizontal="center"/>
    </xf>
    <xf numFmtId="0" fontId="119" fillId="0" borderId="74" xfId="0" applyFont="1" applyBorder="1" applyAlignment="1">
      <alignment horizontal="center"/>
    </xf>
    <xf numFmtId="0" fontId="119" fillId="0" borderId="62" xfId="0" applyFont="1" applyBorder="1" applyAlignment="1">
      <alignment horizontal="center"/>
    </xf>
    <xf numFmtId="0" fontId="119" fillId="39" borderId="35" xfId="0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39" borderId="36" xfId="0" applyFill="1" applyBorder="1" applyAlignment="1">
      <alignment horizontal="center" vertical="center"/>
    </xf>
    <xf numFmtId="0" fontId="119" fillId="39" borderId="35" xfId="0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36" xfId="0" applyFill="1" applyBorder="1" applyAlignment="1">
      <alignment horizontal="center"/>
    </xf>
    <xf numFmtId="0" fontId="119" fillId="0" borderId="124" xfId="0" applyFont="1" applyBorder="1" applyAlignment="1">
      <alignment horizontal="center"/>
    </xf>
    <xf numFmtId="0" fontId="119" fillId="0" borderId="33" xfId="0" applyFont="1" applyBorder="1" applyAlignment="1">
      <alignment horizontal="center"/>
    </xf>
    <xf numFmtId="0" fontId="119" fillId="0" borderId="39" xfId="0" applyFont="1" applyBorder="1" applyAlignment="1">
      <alignment horizontal="center"/>
    </xf>
    <xf numFmtId="0" fontId="120" fillId="39" borderId="0" xfId="0" applyFont="1" applyFill="1" applyBorder="1" applyAlignment="1">
      <alignment horizontal="center" vertical="center"/>
    </xf>
    <xf numFmtId="0" fontId="119" fillId="39" borderId="32" xfId="0" applyFont="1" applyFill="1" applyBorder="1" applyAlignment="1">
      <alignment horizontal="center"/>
    </xf>
    <xf numFmtId="0" fontId="119" fillId="39" borderId="38" xfId="0" applyFont="1" applyFill="1" applyBorder="1" applyAlignment="1">
      <alignment horizontal="center"/>
    </xf>
    <xf numFmtId="0" fontId="119" fillId="39" borderId="21" xfId="0" applyFont="1" applyFill="1" applyBorder="1" applyAlignment="1">
      <alignment/>
    </xf>
    <xf numFmtId="0" fontId="119" fillId="39" borderId="52" xfId="0" applyFont="1" applyFill="1" applyBorder="1" applyAlignment="1">
      <alignment horizontal="center"/>
    </xf>
    <xf numFmtId="0" fontId="119" fillId="39" borderId="33" xfId="0" applyFont="1" applyFill="1" applyBorder="1" applyAlignment="1">
      <alignment horizontal="center"/>
    </xf>
    <xf numFmtId="0" fontId="119" fillId="39" borderId="39" xfId="0" applyFont="1" applyFill="1" applyBorder="1" applyAlignment="1">
      <alignment horizontal="center"/>
    </xf>
    <xf numFmtId="0" fontId="119" fillId="0" borderId="68" xfId="0" applyFont="1" applyBorder="1" applyAlignment="1">
      <alignment/>
    </xf>
    <xf numFmtId="0" fontId="119" fillId="0" borderId="74" xfId="0" applyFont="1" applyBorder="1" applyAlignment="1">
      <alignment/>
    </xf>
    <xf numFmtId="0" fontId="119" fillId="0" borderId="62" xfId="0" applyFont="1" applyBorder="1" applyAlignment="1">
      <alignment/>
    </xf>
    <xf numFmtId="0" fontId="119" fillId="39" borderId="150" xfId="0" applyFont="1" applyFill="1" applyBorder="1" applyAlignment="1">
      <alignment horizontal="center"/>
    </xf>
    <xf numFmtId="0" fontId="119" fillId="39" borderId="151" xfId="0" applyFont="1" applyFill="1" applyBorder="1" applyAlignment="1">
      <alignment horizontal="center"/>
    </xf>
    <xf numFmtId="0" fontId="119" fillId="39" borderId="110" xfId="0" applyFont="1" applyFill="1" applyBorder="1" applyAlignment="1">
      <alignment horizontal="center"/>
    </xf>
    <xf numFmtId="0" fontId="119" fillId="39" borderId="20" xfId="0" applyFont="1" applyFill="1" applyBorder="1" applyAlignment="1">
      <alignment horizontal="center"/>
    </xf>
    <xf numFmtId="0" fontId="119" fillId="39" borderId="23" xfId="0" applyFont="1" applyFill="1" applyBorder="1" applyAlignment="1">
      <alignment horizontal="center"/>
    </xf>
    <xf numFmtId="0" fontId="119" fillId="39" borderId="35" xfId="0" applyFont="1" applyFill="1" applyBorder="1" applyAlignment="1">
      <alignment wrapText="1"/>
    </xf>
    <xf numFmtId="0" fontId="119" fillId="39" borderId="0" xfId="0" applyFont="1" applyFill="1" applyBorder="1" applyAlignment="1">
      <alignment wrapText="1"/>
    </xf>
    <xf numFmtId="0" fontId="119" fillId="39" borderId="36" xfId="0" applyFont="1" applyFill="1" applyBorder="1" applyAlignment="1">
      <alignment wrapText="1"/>
    </xf>
    <xf numFmtId="0" fontId="119" fillId="0" borderId="48" xfId="0" applyFont="1" applyBorder="1" applyAlignment="1">
      <alignment horizontal="center"/>
    </xf>
    <xf numFmtId="0" fontId="119" fillId="0" borderId="38" xfId="0" applyFont="1" applyBorder="1" applyAlignment="1">
      <alignment horizontal="center"/>
    </xf>
    <xf numFmtId="49" fontId="119" fillId="0" borderId="68" xfId="0" applyNumberFormat="1" applyFont="1" applyBorder="1" applyAlignment="1">
      <alignment horizontal="left" vertical="center"/>
    </xf>
    <xf numFmtId="49" fontId="119" fillId="0" borderId="74" xfId="0" applyNumberFormat="1" applyFont="1" applyBorder="1" applyAlignment="1">
      <alignment horizontal="left" vertical="center"/>
    </xf>
    <xf numFmtId="49" fontId="119" fillId="0" borderId="62" xfId="0" applyNumberFormat="1" applyFont="1" applyBorder="1" applyAlignment="1">
      <alignment horizontal="left" vertical="center"/>
    </xf>
    <xf numFmtId="0" fontId="121" fillId="0" borderId="48" xfId="0" applyFont="1" applyBorder="1" applyAlignment="1">
      <alignment horizontal="center"/>
    </xf>
    <xf numFmtId="0" fontId="119" fillId="39" borderId="48" xfId="0" applyFont="1" applyFill="1" applyBorder="1" applyAlignment="1">
      <alignment horizontal="center"/>
    </xf>
    <xf numFmtId="0" fontId="119" fillId="39" borderId="124" xfId="0" applyFont="1" applyFill="1" applyBorder="1" applyAlignment="1">
      <alignment horizontal="center"/>
    </xf>
    <xf numFmtId="0" fontId="119" fillId="39" borderId="104" xfId="0" applyFont="1" applyFill="1" applyBorder="1" applyAlignment="1">
      <alignment horizontal="center"/>
    </xf>
    <xf numFmtId="0" fontId="119" fillId="39" borderId="17" xfId="0" applyFont="1" applyFill="1" applyBorder="1" applyAlignment="1">
      <alignment horizontal="center"/>
    </xf>
    <xf numFmtId="0" fontId="119" fillId="0" borderId="152" xfId="0" applyFont="1" applyBorder="1" applyAlignment="1">
      <alignment horizontal="center"/>
    </xf>
    <xf numFmtId="0" fontId="119" fillId="0" borderId="83" xfId="0" applyFont="1" applyBorder="1" applyAlignment="1">
      <alignment horizontal="center"/>
    </xf>
    <xf numFmtId="0" fontId="119" fillId="0" borderId="142" xfId="0" applyFont="1" applyBorder="1" applyAlignment="1">
      <alignment horizontal="center"/>
    </xf>
    <xf numFmtId="0" fontId="119" fillId="0" borderId="111" xfId="0" applyFont="1" applyBorder="1" applyAlignment="1">
      <alignment horizontal="center"/>
    </xf>
    <xf numFmtId="0" fontId="119" fillId="0" borderId="87" xfId="0" applyFont="1" applyBorder="1" applyAlignment="1">
      <alignment horizontal="center"/>
    </xf>
    <xf numFmtId="0" fontId="119" fillId="0" borderId="153" xfId="0" applyFont="1" applyBorder="1" applyAlignment="1">
      <alignment horizontal="center"/>
    </xf>
    <xf numFmtId="0" fontId="119" fillId="39" borderId="0" xfId="0" applyFont="1" applyFill="1" applyBorder="1" applyAlignment="1">
      <alignment horizontal="center"/>
    </xf>
    <xf numFmtId="0" fontId="119" fillId="39" borderId="36" xfId="0" applyFont="1" applyFill="1" applyBorder="1" applyAlignment="1">
      <alignment horizontal="center"/>
    </xf>
    <xf numFmtId="0" fontId="119" fillId="0" borderId="68" xfId="0" applyFont="1" applyBorder="1" applyAlignment="1">
      <alignment horizontal="center"/>
    </xf>
    <xf numFmtId="0" fontId="133" fillId="39" borderId="0" xfId="0" applyFont="1" applyFill="1" applyBorder="1" applyAlignment="1">
      <alignment horizontal="center"/>
    </xf>
    <xf numFmtId="0" fontId="133" fillId="39" borderId="36" xfId="0" applyFont="1" applyFill="1" applyBorder="1" applyAlignment="1">
      <alignment horizontal="center"/>
    </xf>
    <xf numFmtId="0" fontId="119" fillId="0" borderId="65" xfId="0" applyFont="1" applyBorder="1" applyAlignment="1">
      <alignment horizontal="center"/>
    </xf>
    <xf numFmtId="0" fontId="119" fillId="0" borderId="11" xfId="0" applyFont="1" applyBorder="1" applyAlignment="1">
      <alignment horizontal="center"/>
    </xf>
    <xf numFmtId="0" fontId="119" fillId="0" borderId="41" xfId="0" applyFont="1" applyBorder="1" applyAlignment="1">
      <alignment horizontal="center"/>
    </xf>
    <xf numFmtId="0" fontId="134" fillId="40" borderId="0" xfId="0" applyFont="1" applyFill="1" applyBorder="1" applyAlignment="1" applyProtection="1">
      <alignment horizontal="center" vertical="center"/>
      <protection hidden="1"/>
    </xf>
    <xf numFmtId="0" fontId="119" fillId="0" borderId="61" xfId="0" applyFont="1" applyBorder="1" applyAlignment="1">
      <alignment/>
    </xf>
    <xf numFmtId="0" fontId="119" fillId="0" borderId="63" xfId="0" applyFont="1" applyBorder="1" applyAlignment="1">
      <alignment/>
    </xf>
    <xf numFmtId="49" fontId="85" fillId="39" borderId="0" xfId="0" applyNumberFormat="1" applyFont="1" applyFill="1" applyBorder="1" applyAlignment="1" applyProtection="1">
      <alignment horizontal="center" vertical="center"/>
      <protection hidden="1"/>
    </xf>
    <xf numFmtId="49" fontId="85" fillId="39" borderId="36" xfId="0" applyNumberFormat="1" applyFont="1" applyFill="1" applyBorder="1" applyAlignment="1" applyProtection="1">
      <alignment horizontal="center" vertical="center"/>
      <protection hidden="1"/>
    </xf>
    <xf numFmtId="0" fontId="119" fillId="39" borderId="41" xfId="0" applyFont="1" applyFill="1" applyBorder="1" applyAlignment="1">
      <alignment horizontal="center"/>
    </xf>
    <xf numFmtId="0" fontId="119" fillId="39" borderId="47" xfId="0" applyFont="1" applyFill="1" applyBorder="1" applyAlignment="1">
      <alignment horizontal="center"/>
    </xf>
    <xf numFmtId="0" fontId="119" fillId="39" borderId="118" xfId="0" applyFont="1" applyFill="1" applyBorder="1" applyAlignment="1">
      <alignment horizontal="center"/>
    </xf>
    <xf numFmtId="0" fontId="119" fillId="39" borderId="154" xfId="0" applyFont="1" applyFill="1" applyBorder="1" applyAlignment="1">
      <alignment horizontal="center"/>
    </xf>
    <xf numFmtId="0" fontId="119" fillId="0" borderId="149" xfId="0" applyFont="1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141" xfId="0" applyBorder="1" applyAlignment="1">
      <alignment vertical="center" wrapText="1"/>
    </xf>
    <xf numFmtId="0" fontId="0" fillId="0" borderId="14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119" fillId="0" borderId="60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19" fillId="0" borderId="71" xfId="0" applyNumberFormat="1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09" fillId="39" borderId="49" xfId="0" applyFont="1" applyFill="1" applyBorder="1" applyAlignment="1">
      <alignment horizontal="center" vertical="center"/>
    </xf>
    <xf numFmtId="0" fontId="119" fillId="39" borderId="0" xfId="0" applyFont="1" applyFill="1" applyBorder="1" applyAlignment="1">
      <alignment horizontal="center" vertical="center"/>
    </xf>
    <xf numFmtId="0" fontId="120" fillId="40" borderId="49" xfId="0" applyFont="1" applyFill="1" applyBorder="1" applyAlignment="1">
      <alignment horizontal="center" vertical="center"/>
    </xf>
    <xf numFmtId="0" fontId="109" fillId="40" borderId="0" xfId="0" applyFont="1" applyFill="1" applyBorder="1" applyAlignment="1">
      <alignment horizontal="center" vertical="center"/>
    </xf>
    <xf numFmtId="0" fontId="119" fillId="39" borderId="149" xfId="0" applyFont="1" applyFill="1" applyBorder="1" applyAlignment="1">
      <alignment horizontal="center" vertical="center"/>
    </xf>
    <xf numFmtId="0" fontId="0" fillId="39" borderId="74" xfId="0" applyFill="1" applyBorder="1" applyAlignment="1">
      <alignment horizontal="center" vertical="center"/>
    </xf>
    <xf numFmtId="0" fontId="0" fillId="39" borderId="62" xfId="0" applyFill="1" applyBorder="1" applyAlignment="1">
      <alignment horizontal="center" vertical="center"/>
    </xf>
    <xf numFmtId="0" fontId="119" fillId="0" borderId="61" xfId="0" applyFont="1" applyBorder="1" applyAlignment="1">
      <alignment horizontal="center" vertical="center"/>
    </xf>
    <xf numFmtId="0" fontId="119" fillId="0" borderId="149" xfId="0" applyFont="1" applyBorder="1" applyAlignment="1">
      <alignment horizontal="center" vertical="center"/>
    </xf>
    <xf numFmtId="0" fontId="119" fillId="0" borderId="60" xfId="0" applyFont="1" applyBorder="1" applyAlignment="1">
      <alignment horizontal="center" vertical="center"/>
    </xf>
    <xf numFmtId="0" fontId="119" fillId="0" borderId="149" xfId="0" applyFont="1" applyBorder="1" applyAlignment="1">
      <alignment horizontal="left" vertical="center" wrapText="1"/>
    </xf>
    <xf numFmtId="0" fontId="119" fillId="0" borderId="74" xfId="0" applyFont="1" applyBorder="1" applyAlignment="1">
      <alignment horizontal="left" vertical="center" wrapText="1"/>
    </xf>
    <xf numFmtId="0" fontId="119" fillId="0" borderId="62" xfId="0" applyFont="1" applyBorder="1" applyAlignment="1">
      <alignment horizontal="left" vertical="center" wrapText="1"/>
    </xf>
    <xf numFmtId="0" fontId="119" fillId="0" borderId="71" xfId="0" applyFont="1" applyBorder="1" applyAlignment="1">
      <alignment horizontal="center" vertical="center"/>
    </xf>
    <xf numFmtId="0" fontId="119" fillId="39" borderId="149" xfId="0" applyFont="1" applyFill="1" applyBorder="1" applyAlignment="1">
      <alignment horizontal="center" vertical="center" wrapText="1"/>
    </xf>
    <xf numFmtId="0" fontId="0" fillId="39" borderId="74" xfId="0" applyFill="1" applyBorder="1" applyAlignment="1">
      <alignment horizontal="center" vertical="center" wrapText="1"/>
    </xf>
    <xf numFmtId="0" fontId="0" fillId="39" borderId="62" xfId="0" applyFill="1" applyBorder="1" applyAlignment="1">
      <alignment horizontal="center" vertical="center" wrapText="1"/>
    </xf>
    <xf numFmtId="0" fontId="119" fillId="0" borderId="149" xfId="0" applyFont="1" applyBorder="1" applyAlignment="1">
      <alignment horizontal="left" vertical="center"/>
    </xf>
    <xf numFmtId="0" fontId="119" fillId="0" borderId="74" xfId="0" applyFont="1" applyBorder="1" applyAlignment="1">
      <alignment horizontal="left" vertical="center"/>
    </xf>
    <xf numFmtId="0" fontId="119" fillId="0" borderId="62" xfId="0" applyFont="1" applyBorder="1" applyAlignment="1">
      <alignment horizontal="left" vertical="center"/>
    </xf>
    <xf numFmtId="0" fontId="120" fillId="39" borderId="49" xfId="0" applyFont="1" applyFill="1" applyBorder="1" applyAlignment="1">
      <alignment horizontal="center" vertical="center"/>
    </xf>
    <xf numFmtId="0" fontId="0" fillId="39" borderId="48" xfId="0" applyFill="1" applyBorder="1" applyAlignment="1">
      <alignment horizontal="center" vertical="center"/>
    </xf>
    <xf numFmtId="0" fontId="0" fillId="39" borderId="32" xfId="0" applyFill="1" applyBorder="1" applyAlignment="1">
      <alignment horizontal="center" vertical="center"/>
    </xf>
    <xf numFmtId="0" fontId="0" fillId="39" borderId="38" xfId="0" applyFill="1" applyBorder="1" applyAlignment="1">
      <alignment horizontal="center" vertical="center"/>
    </xf>
    <xf numFmtId="49" fontId="119" fillId="0" borderId="68" xfId="0" applyNumberFormat="1" applyFont="1" applyBorder="1" applyAlignment="1">
      <alignment horizontal="center" vertical="center"/>
    </xf>
    <xf numFmtId="49" fontId="119" fillId="0" borderId="74" xfId="0" applyNumberFormat="1" applyFont="1" applyBorder="1" applyAlignment="1">
      <alignment horizontal="center" vertical="center"/>
    </xf>
    <xf numFmtId="0" fontId="121" fillId="0" borderId="60" xfId="0" applyFont="1" applyBorder="1" applyAlignment="1">
      <alignment horizontal="center" vertical="center"/>
    </xf>
    <xf numFmtId="49" fontId="119" fillId="0" borderId="68" xfId="0" applyNumberFormat="1" applyFont="1" applyBorder="1" applyAlignment="1">
      <alignment horizontal="left" vertical="center" wrapText="1"/>
    </xf>
    <xf numFmtId="49" fontId="119" fillId="0" borderId="74" xfId="0" applyNumberFormat="1" applyFont="1" applyBorder="1" applyAlignment="1">
      <alignment horizontal="left" vertical="center" wrapText="1"/>
    </xf>
    <xf numFmtId="49" fontId="119" fillId="0" borderId="62" xfId="0" applyNumberFormat="1" applyFont="1" applyBorder="1" applyAlignment="1">
      <alignment horizontal="left" vertical="center" wrapText="1"/>
    </xf>
    <xf numFmtId="0" fontId="119" fillId="0" borderId="68" xfId="0" applyFont="1" applyBorder="1" applyAlignment="1">
      <alignment horizontal="left" vertical="center"/>
    </xf>
    <xf numFmtId="0" fontId="121" fillId="0" borderId="68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19" fillId="0" borderId="68" xfId="0" applyFont="1" applyBorder="1" applyAlignment="1">
      <alignment horizontal="left" vertical="center" wrapText="1"/>
    </xf>
    <xf numFmtId="0" fontId="120" fillId="39" borderId="49" xfId="0" applyFont="1" applyFill="1" applyBorder="1" applyAlignment="1">
      <alignment horizontal="right" vertical="center"/>
    </xf>
    <xf numFmtId="0" fontId="109" fillId="39" borderId="0" xfId="0" applyFont="1" applyFill="1" applyBorder="1" applyAlignment="1">
      <alignment horizontal="right" vertical="center"/>
    </xf>
    <xf numFmtId="0" fontId="109" fillId="39" borderId="36" xfId="0" applyFont="1" applyFill="1" applyBorder="1" applyAlignment="1">
      <alignment horizontal="right" vertical="center"/>
    </xf>
    <xf numFmtId="0" fontId="119" fillId="0" borderId="61" xfId="0" applyNumberFormat="1" applyFont="1" applyBorder="1" applyAlignment="1">
      <alignment horizontal="center" vertical="center"/>
    </xf>
    <xf numFmtId="0" fontId="121" fillId="0" borderId="68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09" fillId="39" borderId="36" xfId="0" applyFont="1" applyFill="1" applyBorder="1" applyAlignment="1">
      <alignment horizontal="center" vertical="center"/>
    </xf>
    <xf numFmtId="0" fontId="121" fillId="39" borderId="0" xfId="0" applyFont="1" applyFill="1" applyBorder="1" applyAlignment="1">
      <alignment horizontal="center" vertical="center"/>
    </xf>
    <xf numFmtId="0" fontId="119" fillId="39" borderId="49" xfId="0" applyFont="1" applyFill="1" applyBorder="1" applyAlignment="1">
      <alignment horizontal="center" vertical="center"/>
    </xf>
    <xf numFmtId="0" fontId="121" fillId="0" borderId="74" xfId="0" applyFont="1" applyBorder="1" applyAlignment="1">
      <alignment horizontal="center" vertical="center"/>
    </xf>
    <xf numFmtId="0" fontId="119" fillId="39" borderId="74" xfId="0" applyFont="1" applyFill="1" applyBorder="1" applyAlignment="1">
      <alignment horizontal="center" vertical="center"/>
    </xf>
    <xf numFmtId="0" fontId="119" fillId="39" borderId="33" xfId="0" applyFont="1" applyFill="1" applyBorder="1" applyAlignment="1">
      <alignment horizontal="center" vertical="center"/>
    </xf>
    <xf numFmtId="0" fontId="119" fillId="39" borderId="39" xfId="0" applyFont="1" applyFill="1" applyBorder="1" applyAlignment="1">
      <alignment horizontal="center" vertical="center"/>
    </xf>
    <xf numFmtId="0" fontId="121" fillId="0" borderId="136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49" fontId="119" fillId="39" borderId="0" xfId="0" applyNumberFormat="1" applyFont="1" applyFill="1" applyBorder="1" applyAlignment="1">
      <alignment horizontal="center" vertical="center"/>
    </xf>
    <xf numFmtId="0" fontId="0" fillId="39" borderId="33" xfId="0" applyFill="1" applyBorder="1" applyAlignment="1">
      <alignment horizontal="center" vertical="center"/>
    </xf>
    <xf numFmtId="0" fontId="0" fillId="39" borderId="39" xfId="0" applyFill="1" applyBorder="1" applyAlignment="1">
      <alignment horizontal="center" vertical="center"/>
    </xf>
    <xf numFmtId="0" fontId="120" fillId="39" borderId="46" xfId="0" applyFont="1" applyFill="1" applyBorder="1" applyAlignment="1">
      <alignment horizontal="center" vertical="center"/>
    </xf>
    <xf numFmtId="0" fontId="109" fillId="39" borderId="46" xfId="0" applyFont="1" applyFill="1" applyBorder="1" applyAlignment="1">
      <alignment horizontal="center" vertical="center"/>
    </xf>
    <xf numFmtId="0" fontId="0" fillId="0" borderId="74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121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119" fillId="39" borderId="66" xfId="0" applyFont="1" applyFill="1" applyBorder="1" applyAlignment="1">
      <alignment horizontal="center" vertical="center"/>
    </xf>
    <xf numFmtId="0" fontId="119" fillId="39" borderId="32" xfId="0" applyFont="1" applyFill="1" applyBorder="1" applyAlignment="1">
      <alignment horizontal="center" vertical="center"/>
    </xf>
    <xf numFmtId="0" fontId="120" fillId="39" borderId="68" xfId="0" applyFont="1" applyFill="1" applyBorder="1" applyAlignment="1">
      <alignment horizontal="center" vertical="center"/>
    </xf>
    <xf numFmtId="0" fontId="109" fillId="39" borderId="74" xfId="0" applyFont="1" applyFill="1" applyBorder="1" applyAlignment="1">
      <alignment horizontal="center" vertical="center"/>
    </xf>
    <xf numFmtId="0" fontId="109" fillId="39" borderId="62" xfId="0" applyFont="1" applyFill="1" applyBorder="1" applyAlignment="1">
      <alignment horizontal="center" vertical="center"/>
    </xf>
    <xf numFmtId="49" fontId="119" fillId="39" borderId="0" xfId="0" applyNumberFormat="1" applyFont="1" applyFill="1" applyBorder="1" applyAlignment="1">
      <alignment horizontal="center" vertical="center" wrapText="1"/>
    </xf>
    <xf numFmtId="49" fontId="119" fillId="39" borderId="54" xfId="0" applyNumberFormat="1" applyFont="1" applyFill="1" applyBorder="1" applyAlignment="1">
      <alignment horizontal="center" vertical="center" wrapText="1"/>
    </xf>
    <xf numFmtId="0" fontId="0" fillId="39" borderId="54" xfId="0" applyFill="1" applyBorder="1" applyAlignment="1">
      <alignment horizontal="center" vertical="center"/>
    </xf>
    <xf numFmtId="0" fontId="119" fillId="41" borderId="149" xfId="0" applyFont="1" applyFill="1" applyBorder="1" applyAlignment="1">
      <alignment horizontal="center" vertical="center"/>
    </xf>
    <xf numFmtId="0" fontId="119" fillId="41" borderId="74" xfId="0" applyFont="1" applyFill="1" applyBorder="1" applyAlignment="1">
      <alignment horizontal="center" vertical="center"/>
    </xf>
    <xf numFmtId="0" fontId="119" fillId="41" borderId="141" xfId="0" applyFont="1" applyFill="1" applyBorder="1" applyAlignment="1">
      <alignment horizontal="center" vertical="center"/>
    </xf>
    <xf numFmtId="0" fontId="119" fillId="39" borderId="141" xfId="0" applyFont="1" applyFill="1" applyBorder="1" applyAlignment="1">
      <alignment horizontal="center" vertical="center"/>
    </xf>
    <xf numFmtId="1" fontId="10" fillId="34" borderId="27" xfId="0" applyNumberFormat="1" applyFont="1" applyFill="1" applyBorder="1" applyAlignment="1" applyProtection="1">
      <alignment horizontal="center" vertical="center"/>
      <protection hidden="1"/>
    </xf>
    <xf numFmtId="1" fontId="10" fillId="34" borderId="25" xfId="0" applyNumberFormat="1" applyFont="1" applyFill="1" applyBorder="1" applyAlignment="1" applyProtection="1">
      <alignment horizontal="center" vertical="center"/>
      <protection hidden="1"/>
    </xf>
    <xf numFmtId="0" fontId="8" fillId="33" borderId="12" xfId="0" applyFont="1" applyFill="1" applyBorder="1" applyAlignment="1" applyProtection="1">
      <alignment/>
      <protection hidden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6" fillId="0" borderId="21" xfId="0" applyFont="1" applyFill="1" applyBorder="1" applyAlignment="1" applyProtection="1">
      <alignment vertical="center"/>
      <protection hidden="1"/>
    </xf>
    <xf numFmtId="0" fontId="121" fillId="0" borderId="10" xfId="0" applyFont="1" applyBorder="1" applyAlignment="1">
      <alignment/>
    </xf>
    <xf numFmtId="0" fontId="121" fillId="0" borderId="25" xfId="0" applyFont="1" applyBorder="1" applyAlignment="1">
      <alignment/>
    </xf>
    <xf numFmtId="0" fontId="26" fillId="0" borderId="21" xfId="0" applyFont="1" applyFill="1" applyBorder="1" applyAlignment="1" applyProtection="1">
      <alignment vertical="center" wrapText="1"/>
      <protection hidden="1"/>
    </xf>
    <xf numFmtId="0" fontId="121" fillId="0" borderId="10" xfId="0" applyFont="1" applyBorder="1" applyAlignment="1">
      <alignment wrapText="1"/>
    </xf>
    <xf numFmtId="0" fontId="121" fillId="0" borderId="25" xfId="0" applyFont="1" applyBorder="1" applyAlignment="1">
      <alignment wrapText="1"/>
    </xf>
    <xf numFmtId="0" fontId="121" fillId="0" borderId="21" xfId="0" applyFont="1" applyBorder="1" applyAlignment="1" applyProtection="1">
      <alignment horizontal="left" vertical="center"/>
      <protection hidden="1"/>
    </xf>
    <xf numFmtId="0" fontId="121" fillId="0" borderId="21" xfId="0" applyFont="1" applyBorder="1" applyAlignment="1" applyProtection="1">
      <alignment vertical="center"/>
      <protection hidden="1"/>
    </xf>
    <xf numFmtId="0" fontId="46" fillId="37" borderId="10" xfId="0" applyFont="1" applyFill="1" applyBorder="1" applyAlignment="1" applyProtection="1">
      <alignment wrapText="1"/>
      <protection hidden="1"/>
    </xf>
    <xf numFmtId="0" fontId="135" fillId="0" borderId="10" xfId="0" applyFont="1" applyBorder="1" applyAlignment="1">
      <alignment wrapText="1"/>
    </xf>
    <xf numFmtId="0" fontId="135" fillId="0" borderId="25" xfId="0" applyFont="1" applyBorder="1" applyAlignment="1">
      <alignment wrapText="1"/>
    </xf>
    <xf numFmtId="0" fontId="46" fillId="0" borderId="10" xfId="0" applyFont="1" applyFill="1" applyBorder="1" applyAlignment="1" applyProtection="1">
      <alignment horizontal="left"/>
      <protection hidden="1"/>
    </xf>
    <xf numFmtId="0" fontId="135" fillId="0" borderId="10" xfId="0" applyFont="1" applyBorder="1" applyAlignment="1">
      <alignment/>
    </xf>
    <xf numFmtId="0" fontId="135" fillId="0" borderId="25" xfId="0" applyFont="1" applyBorder="1" applyAlignment="1">
      <alignment/>
    </xf>
    <xf numFmtId="0" fontId="93" fillId="0" borderId="86" xfId="0" applyFont="1" applyBorder="1" applyAlignment="1" applyProtection="1">
      <alignment horizontal="center" vertical="center"/>
      <protection hidden="1"/>
    </xf>
    <xf numFmtId="0" fontId="136" fillId="0" borderId="57" xfId="0" applyFont="1" applyBorder="1" applyAlignment="1">
      <alignment horizontal="center" vertical="center"/>
    </xf>
    <xf numFmtId="0" fontId="8" fillId="40" borderId="83" xfId="0" applyFont="1" applyFill="1" applyBorder="1" applyAlignment="1" applyProtection="1">
      <alignment horizontal="center" vertical="center"/>
      <protection hidden="1"/>
    </xf>
    <xf numFmtId="0" fontId="4" fillId="40" borderId="0" xfId="0" applyFont="1" applyFill="1" applyBorder="1" applyAlignment="1" applyProtection="1">
      <alignment horizontal="left" vertical="center"/>
      <protection hidden="1"/>
    </xf>
    <xf numFmtId="0" fontId="0" fillId="40" borderId="0" xfId="0" applyFill="1" applyAlignment="1">
      <alignment horizontal="left" vertical="center"/>
    </xf>
    <xf numFmtId="0" fontId="8" fillId="33" borderId="12" xfId="0" applyFont="1" applyFill="1" applyBorder="1" applyAlignment="1" applyProtection="1">
      <alignment vertical="center"/>
      <protection hidden="1"/>
    </xf>
    <xf numFmtId="0" fontId="17" fillId="33" borderId="21" xfId="0" applyFont="1" applyFill="1" applyBorder="1" applyAlignment="1" applyProtection="1">
      <alignment horizontal="center" vertical="center"/>
      <protection hidden="1"/>
    </xf>
    <xf numFmtId="0" fontId="46" fillId="0" borderId="10" xfId="0" applyFont="1" applyBorder="1" applyAlignment="1" applyProtection="1" quotePrefix="1">
      <alignment horizontal="left"/>
      <protection hidden="1"/>
    </xf>
    <xf numFmtId="0" fontId="46" fillId="0" borderId="10" xfId="33" applyFont="1" applyFill="1" applyBorder="1" applyAlignment="1" applyProtection="1">
      <alignment horizontal="left"/>
      <protection hidden="1"/>
    </xf>
    <xf numFmtId="0" fontId="17" fillId="33" borderId="21" xfId="35" applyFont="1" applyFill="1" applyBorder="1" applyAlignment="1" applyProtection="1">
      <alignment horizontal="center" vertical="center"/>
      <protection hidden="1"/>
    </xf>
    <xf numFmtId="0" fontId="46" fillId="0" borderId="10" xfId="0" applyFont="1" applyFill="1" applyBorder="1" applyAlignment="1" applyProtection="1">
      <alignment/>
      <protection hidden="1"/>
    </xf>
    <xf numFmtId="0" fontId="26" fillId="0" borderId="10" xfId="33" applyFont="1" applyFill="1" applyBorder="1" applyAlignment="1" applyProtection="1">
      <alignment horizontal="left"/>
      <protection hidden="1"/>
    </xf>
    <xf numFmtId="0" fontId="21" fillId="0" borderId="10" xfId="0" applyFont="1" applyFill="1" applyBorder="1" applyAlignment="1" applyProtection="1">
      <alignment horizontal="left"/>
      <protection hidden="1"/>
    </xf>
    <xf numFmtId="0" fontId="121" fillId="0" borderId="10" xfId="0" applyFont="1" applyBorder="1" applyAlignment="1" applyProtection="1">
      <alignment horizontal="left"/>
      <protection hidden="1"/>
    </xf>
    <xf numFmtId="0" fontId="121" fillId="0" borderId="25" xfId="0" applyFont="1" applyBorder="1" applyAlignment="1" applyProtection="1">
      <alignment horizontal="left"/>
      <protection hidden="1"/>
    </xf>
    <xf numFmtId="0" fontId="121" fillId="0" borderId="10" xfId="0" applyFont="1" applyBorder="1" applyAlignment="1" applyProtection="1">
      <alignment horizontal="left" vertical="center" wrapText="1"/>
      <protection hidden="1"/>
    </xf>
    <xf numFmtId="0" fontId="121" fillId="0" borderId="25" xfId="0" applyFont="1" applyBorder="1" applyAlignment="1" applyProtection="1">
      <alignment horizontal="left" vertical="center" wrapText="1"/>
      <protection hidden="1"/>
    </xf>
    <xf numFmtId="0" fontId="41" fillId="33" borderId="11" xfId="0" applyFont="1" applyFill="1" applyBorder="1" applyAlignment="1" applyProtection="1">
      <alignment horizontal="left"/>
      <protection hidden="1"/>
    </xf>
    <xf numFmtId="0" fontId="121" fillId="0" borderId="11" xfId="0" applyFont="1" applyBorder="1" applyAlignment="1">
      <alignment/>
    </xf>
    <xf numFmtId="0" fontId="121" fillId="0" borderId="28" xfId="0" applyFont="1" applyBorder="1" applyAlignment="1">
      <alignment/>
    </xf>
    <xf numFmtId="0" fontId="26" fillId="0" borderId="10" xfId="0" applyFont="1" applyBorder="1" applyAlignment="1" applyProtection="1">
      <alignment horizontal="left" vertical="center"/>
      <protection hidden="1"/>
    </xf>
    <xf numFmtId="0" fontId="121" fillId="0" borderId="10" xfId="0" applyFont="1" applyBorder="1" applyAlignment="1">
      <alignment horizontal="left" vertical="center" wrapText="1"/>
    </xf>
    <xf numFmtId="0" fontId="121" fillId="0" borderId="25" xfId="0" applyFont="1" applyBorder="1" applyAlignment="1">
      <alignment horizontal="left" vertical="center" wrapText="1"/>
    </xf>
    <xf numFmtId="12" fontId="121" fillId="0" borderId="10" xfId="0" applyNumberFormat="1" applyFont="1" applyBorder="1" applyAlignment="1" applyProtection="1">
      <alignment vertical="center" wrapText="1"/>
      <protection hidden="1"/>
    </xf>
    <xf numFmtId="0" fontId="121" fillId="0" borderId="10" xfId="0" applyFont="1" applyBorder="1" applyAlignment="1">
      <alignment vertical="center" wrapText="1"/>
    </xf>
    <xf numFmtId="0" fontId="121" fillId="0" borderId="25" xfId="0" applyFont="1" applyBorder="1" applyAlignment="1">
      <alignment vertical="center" wrapText="1"/>
    </xf>
    <xf numFmtId="12" fontId="121" fillId="0" borderId="10" xfId="0" applyNumberFormat="1" applyFont="1" applyBorder="1" applyAlignment="1" applyProtection="1">
      <alignment horizontal="left"/>
      <protection hidden="1"/>
    </xf>
    <xf numFmtId="0" fontId="121" fillId="0" borderId="10" xfId="0" applyFont="1" applyBorder="1" applyAlignment="1" applyProtection="1">
      <alignment horizontal="left" wrapText="1"/>
      <protection hidden="1"/>
    </xf>
    <xf numFmtId="0" fontId="121" fillId="0" borderId="25" xfId="0" applyFont="1" applyBorder="1" applyAlignment="1" applyProtection="1">
      <alignment horizontal="left" wrapText="1"/>
      <protection hidden="1"/>
    </xf>
    <xf numFmtId="0" fontId="26" fillId="0" borderId="10" xfId="34" applyFont="1" applyBorder="1" applyAlignment="1" applyProtection="1">
      <alignment vertical="center"/>
      <protection hidden="1"/>
    </xf>
    <xf numFmtId="0" fontId="26" fillId="0" borderId="25" xfId="0" applyFont="1" applyBorder="1" applyAlignment="1" applyProtection="1">
      <alignment horizontal="left" vertical="center"/>
      <protection hidden="1"/>
    </xf>
    <xf numFmtId="0" fontId="8" fillId="33" borderId="50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121" fillId="0" borderId="10" xfId="0" applyFont="1" applyBorder="1" applyAlignment="1" applyProtection="1">
      <alignment vertical="center"/>
      <protection hidden="1"/>
    </xf>
    <xf numFmtId="0" fontId="121" fillId="0" borderId="25" xfId="0" applyFont="1" applyBorder="1" applyAlignment="1" applyProtection="1">
      <alignment vertical="center"/>
      <protection hidden="1"/>
    </xf>
    <xf numFmtId="0" fontId="26" fillId="0" borderId="10" xfId="35" applyFont="1" applyBorder="1" applyAlignment="1" applyProtection="1">
      <alignment vertical="center"/>
      <protection hidden="1"/>
    </xf>
    <xf numFmtId="0" fontId="26" fillId="0" borderId="10" xfId="35" applyFont="1" applyBorder="1" applyAlignment="1" applyProtection="1">
      <alignment horizontal="left" vertical="center"/>
      <protection hidden="1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1" fontId="10" fillId="34" borderId="81" xfId="0" applyNumberFormat="1" applyFont="1" applyFill="1" applyBorder="1" applyAlignment="1" applyProtection="1">
      <alignment horizontal="center" vertical="center"/>
      <protection hidden="1"/>
    </xf>
    <xf numFmtId="1" fontId="10" fillId="34" borderId="82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34" fillId="33" borderId="0" xfId="0" applyFont="1" applyFill="1" applyBorder="1" applyAlignment="1">
      <alignment horizontal="left"/>
    </xf>
    <xf numFmtId="0" fontId="137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4" fillId="33" borderId="87" xfId="0" applyFont="1" applyFill="1" applyBorder="1" applyAlignment="1">
      <alignment horizontal="center"/>
    </xf>
    <xf numFmtId="0" fontId="0" fillId="0" borderId="87" xfId="0" applyBorder="1" applyAlignment="1">
      <alignment/>
    </xf>
    <xf numFmtId="0" fontId="9" fillId="0" borderId="81" xfId="0" applyFont="1" applyBorder="1" applyAlignment="1">
      <alignment horizontal="center"/>
    </xf>
    <xf numFmtId="0" fontId="9" fillId="0" borderId="83" xfId="0" applyFont="1" applyBorder="1" applyAlignment="1">
      <alignment horizontal="center"/>
    </xf>
    <xf numFmtId="0" fontId="9" fillId="0" borderId="8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86" xfId="0" applyFont="1" applyBorder="1" applyAlignment="1">
      <alignment horizontal="center"/>
    </xf>
    <xf numFmtId="0" fontId="9" fillId="0" borderId="87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56" fillId="37" borderId="64" xfId="0" applyFont="1" applyFill="1" applyBorder="1" applyAlignment="1" applyProtection="1">
      <alignment horizontal="left" vertical="center"/>
      <protection hidden="1"/>
    </xf>
    <xf numFmtId="0" fontId="56" fillId="37" borderId="12" xfId="0" applyFont="1" applyFill="1" applyBorder="1" applyAlignment="1" applyProtection="1">
      <alignment horizontal="left" vertical="center"/>
      <protection hidden="1"/>
    </xf>
    <xf numFmtId="0" fontId="56" fillId="37" borderId="13" xfId="0" applyFont="1" applyFill="1" applyBorder="1" applyAlignment="1" applyProtection="1">
      <alignment horizontal="left" vertical="center"/>
      <protection hidden="1"/>
    </xf>
    <xf numFmtId="0" fontId="56" fillId="37" borderId="103" xfId="0" applyFont="1" applyFill="1" applyBorder="1" applyAlignment="1" applyProtection="1">
      <alignment horizontal="left" vertical="center"/>
      <protection hidden="1"/>
    </xf>
    <xf numFmtId="0" fontId="56" fillId="37" borderId="10" xfId="0" applyFont="1" applyFill="1" applyBorder="1" applyAlignment="1" applyProtection="1">
      <alignment horizontal="left" vertical="center"/>
      <protection hidden="1"/>
    </xf>
    <xf numFmtId="0" fontId="56" fillId="37" borderId="25" xfId="0" applyFont="1" applyFill="1" applyBorder="1" applyAlignment="1" applyProtection="1">
      <alignment horizontal="left" vertical="center"/>
      <protection hidden="1"/>
    </xf>
    <xf numFmtId="0" fontId="56" fillId="37" borderId="45" xfId="0" applyFont="1" applyFill="1" applyBorder="1" applyAlignment="1" applyProtection="1">
      <alignment horizontal="left" vertical="center"/>
      <protection hidden="1"/>
    </xf>
    <xf numFmtId="0" fontId="56" fillId="37" borderId="46" xfId="0" applyFont="1" applyFill="1" applyBorder="1" applyAlignment="1" applyProtection="1">
      <alignment horizontal="left" vertical="center"/>
      <protection hidden="1"/>
    </xf>
    <xf numFmtId="0" fontId="56" fillId="37" borderId="155" xfId="0" applyFont="1" applyFill="1" applyBorder="1" applyAlignment="1" applyProtection="1">
      <alignment horizontal="left" vertical="center"/>
      <protection hidden="1"/>
    </xf>
    <xf numFmtId="0" fontId="56" fillId="37" borderId="103" xfId="0" applyFont="1" applyFill="1" applyBorder="1" applyAlignment="1" applyProtection="1">
      <alignment vertical="center"/>
      <protection hidden="1"/>
    </xf>
    <xf numFmtId="0" fontId="56" fillId="37" borderId="10" xfId="0" applyFont="1" applyFill="1" applyBorder="1" applyAlignment="1" applyProtection="1">
      <alignment vertical="center"/>
      <protection hidden="1"/>
    </xf>
    <xf numFmtId="0" fontId="56" fillId="37" borderId="25" xfId="0" applyFont="1" applyFill="1" applyBorder="1" applyAlignment="1" applyProtection="1">
      <alignment vertical="center"/>
      <protection hidden="1"/>
    </xf>
    <xf numFmtId="0" fontId="56" fillId="37" borderId="64" xfId="0" applyFont="1" applyFill="1" applyBorder="1" applyAlignment="1" applyProtection="1">
      <alignment vertical="center"/>
      <protection hidden="1"/>
    </xf>
    <xf numFmtId="0" fontId="56" fillId="37" borderId="12" xfId="0" applyFont="1" applyFill="1" applyBorder="1" applyAlignment="1" applyProtection="1">
      <alignment vertical="center"/>
      <protection hidden="1"/>
    </xf>
    <xf numFmtId="0" fontId="56" fillId="37" borderId="13" xfId="0" applyFont="1" applyFill="1" applyBorder="1" applyAlignment="1" applyProtection="1">
      <alignment vertical="center"/>
      <protection hidden="1"/>
    </xf>
    <xf numFmtId="0" fontId="36" fillId="0" borderId="103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25" xfId="0" applyFont="1" applyBorder="1" applyAlignment="1">
      <alignment vertical="center"/>
    </xf>
    <xf numFmtId="0" fontId="53" fillId="40" borderId="0" xfId="0" applyFont="1" applyFill="1" applyBorder="1" applyAlignment="1" applyProtection="1">
      <alignment horizontal="center" vertical="center"/>
      <protection hidden="1"/>
    </xf>
    <xf numFmtId="0" fontId="36" fillId="37" borderId="103" xfId="0" applyFont="1" applyFill="1" applyBorder="1" applyAlignment="1" applyProtection="1">
      <alignment vertical="center"/>
      <protection hidden="1"/>
    </xf>
    <xf numFmtId="0" fontId="36" fillId="37" borderId="10" xfId="0" applyFont="1" applyFill="1" applyBorder="1" applyAlignment="1" applyProtection="1">
      <alignment vertical="center"/>
      <protection hidden="1"/>
    </xf>
    <xf numFmtId="0" fontId="36" fillId="37" borderId="25" xfId="0" applyFont="1" applyFill="1" applyBorder="1" applyAlignment="1" applyProtection="1">
      <alignment vertical="center"/>
      <protection hidden="1"/>
    </xf>
    <xf numFmtId="0" fontId="53" fillId="40" borderId="0" xfId="0" applyFont="1" applyFill="1" applyBorder="1" applyAlignment="1" applyProtection="1">
      <alignment horizontal="center" vertical="center" wrapText="1"/>
      <protection hidden="1"/>
    </xf>
    <xf numFmtId="0" fontId="56" fillId="37" borderId="35" xfId="0" applyFont="1" applyFill="1" applyBorder="1" applyAlignment="1" applyProtection="1">
      <alignment horizontal="left" vertical="center"/>
      <protection hidden="1"/>
    </xf>
    <xf numFmtId="0" fontId="56" fillId="37" borderId="0" xfId="0" applyFont="1" applyFill="1" applyBorder="1" applyAlignment="1" applyProtection="1">
      <alignment horizontal="left" vertical="center"/>
      <protection hidden="1"/>
    </xf>
    <xf numFmtId="0" fontId="56" fillId="37" borderId="54" xfId="0" applyFont="1" applyFill="1" applyBorder="1" applyAlignment="1" applyProtection="1">
      <alignment horizontal="left" vertical="center"/>
      <protection hidden="1"/>
    </xf>
    <xf numFmtId="0" fontId="36" fillId="0" borderId="103" xfId="33" applyFont="1" applyFill="1" applyBorder="1" applyAlignment="1" applyProtection="1">
      <alignment horizontal="left" vertical="center" wrapText="1"/>
      <protection hidden="1"/>
    </xf>
    <xf numFmtId="0" fontId="36" fillId="0" borderId="10" xfId="33" applyFont="1" applyFill="1" applyBorder="1" applyAlignment="1" applyProtection="1">
      <alignment horizontal="left" vertical="center" wrapText="1"/>
      <protection hidden="1"/>
    </xf>
    <xf numFmtId="0" fontId="36" fillId="37" borderId="64" xfId="0" applyFont="1" applyFill="1" applyBorder="1" applyAlignment="1" applyProtection="1">
      <alignment horizontal="left" vertical="center"/>
      <protection hidden="1"/>
    </xf>
    <xf numFmtId="0" fontId="36" fillId="37" borderId="12" xfId="0" applyFont="1" applyFill="1" applyBorder="1" applyAlignment="1" applyProtection="1">
      <alignment horizontal="left" vertical="center"/>
      <protection hidden="1"/>
    </xf>
    <xf numFmtId="0" fontId="36" fillId="37" borderId="13" xfId="0" applyFont="1" applyFill="1" applyBorder="1" applyAlignment="1" applyProtection="1">
      <alignment horizontal="left" vertical="center"/>
      <protection hidden="1"/>
    </xf>
    <xf numFmtId="0" fontId="36" fillId="0" borderId="103" xfId="0" applyFont="1" applyFill="1" applyBorder="1" applyAlignment="1" applyProtection="1">
      <alignment horizontal="left" vertical="center"/>
      <protection hidden="1"/>
    </xf>
    <xf numFmtId="0" fontId="36" fillId="0" borderId="10" xfId="0" applyFont="1" applyFill="1" applyBorder="1" applyAlignment="1" applyProtection="1">
      <alignment horizontal="left" vertical="center"/>
      <protection hidden="1"/>
    </xf>
    <xf numFmtId="0" fontId="36" fillId="0" borderId="103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53" fillId="33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19" fillId="33" borderId="35" xfId="0" applyFont="1" applyFill="1" applyBorder="1" applyAlignment="1" applyProtection="1">
      <alignment horizontal="center" vertical="center"/>
      <protection hidden="1"/>
    </xf>
    <xf numFmtId="0" fontId="119" fillId="0" borderId="10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119" fillId="0" borderId="103" xfId="0" applyFont="1" applyBorder="1" applyAlignment="1">
      <alignment horizontal="left" vertical="center" wrapText="1"/>
    </xf>
    <xf numFmtId="0" fontId="119" fillId="0" borderId="10" xfId="0" applyFont="1" applyBorder="1" applyAlignment="1">
      <alignment horizontal="left" vertical="center" wrapText="1"/>
    </xf>
    <xf numFmtId="0" fontId="119" fillId="0" borderId="25" xfId="0" applyFont="1" applyBorder="1" applyAlignment="1">
      <alignment horizontal="left" vertical="center" wrapText="1"/>
    </xf>
    <xf numFmtId="0" fontId="36" fillId="0" borderId="25" xfId="33" applyFont="1" applyFill="1" applyBorder="1" applyAlignment="1" applyProtection="1">
      <alignment horizontal="left" vertical="center" wrapText="1"/>
      <protection hidden="1"/>
    </xf>
    <xf numFmtId="0" fontId="56" fillId="0" borderId="65" xfId="0" applyFont="1" applyFill="1" applyBorder="1" applyAlignment="1" applyProtection="1">
      <alignment horizontal="left" vertical="center"/>
      <protection hidden="1"/>
    </xf>
    <xf numFmtId="0" fontId="56" fillId="0" borderId="11" xfId="0" applyFont="1" applyFill="1" applyBorder="1" applyAlignment="1" applyProtection="1">
      <alignment horizontal="left" vertical="center"/>
      <protection hidden="1"/>
    </xf>
    <xf numFmtId="0" fontId="56" fillId="0" borderId="103" xfId="0" applyFont="1" applyFill="1" applyBorder="1" applyAlignment="1" applyProtection="1">
      <alignment horizontal="left" vertical="center"/>
      <protection hidden="1"/>
    </xf>
    <xf numFmtId="0" fontId="56" fillId="0" borderId="10" xfId="0" applyFont="1" applyFill="1" applyBorder="1" applyAlignment="1" applyProtection="1">
      <alignment horizontal="left" vertical="center"/>
      <protection hidden="1"/>
    </xf>
    <xf numFmtId="0" fontId="56" fillId="0" borderId="35" xfId="0" applyFont="1" applyFill="1" applyBorder="1" applyAlignment="1" applyProtection="1">
      <alignment horizontal="left" vertical="center"/>
      <protection hidden="1"/>
    </xf>
    <xf numFmtId="0" fontId="56" fillId="0" borderId="0" xfId="0" applyFont="1" applyFill="1" applyBorder="1" applyAlignment="1" applyProtection="1">
      <alignment horizontal="left" vertical="center"/>
      <protection hidden="1"/>
    </xf>
    <xf numFmtId="0" fontId="119" fillId="0" borderId="103" xfId="0" applyFont="1" applyBorder="1" applyAlignment="1">
      <alignment horizontal="left" vertical="center"/>
    </xf>
    <xf numFmtId="0" fontId="36" fillId="0" borderId="65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138" fillId="0" borderId="10" xfId="0" applyFont="1" applyFill="1" applyBorder="1" applyAlignment="1" applyProtection="1">
      <alignment horizontal="left" vertical="center"/>
      <protection hidden="1"/>
    </xf>
    <xf numFmtId="0" fontId="128" fillId="40" borderId="35" xfId="0" applyFont="1" applyFill="1" applyBorder="1" applyAlignment="1">
      <alignment horizontal="center" vertical="center"/>
    </xf>
    <xf numFmtId="0" fontId="128" fillId="40" borderId="0" xfId="0" applyFont="1" applyFill="1" applyBorder="1" applyAlignment="1">
      <alignment horizontal="center" vertical="center"/>
    </xf>
    <xf numFmtId="0" fontId="0" fillId="40" borderId="35" xfId="0" applyFill="1" applyBorder="1" applyAlignment="1" applyProtection="1">
      <alignment horizontal="center" vertical="center"/>
      <protection hidden="1"/>
    </xf>
    <xf numFmtId="0" fontId="53" fillId="33" borderId="12" xfId="0" applyFont="1" applyFill="1" applyBorder="1" applyAlignment="1">
      <alignment horizontal="center" vertical="center"/>
    </xf>
    <xf numFmtId="0" fontId="119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119" fillId="0" borderId="103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36" fillId="37" borderId="103" xfId="0" applyFont="1" applyFill="1" applyBorder="1" applyAlignment="1" applyProtection="1">
      <alignment horizontal="left" vertical="center" wrapText="1"/>
      <protection hidden="1"/>
    </xf>
    <xf numFmtId="0" fontId="119" fillId="0" borderId="25" xfId="0" applyFont="1" applyBorder="1" applyAlignment="1">
      <alignment horizontal="left" vertical="center"/>
    </xf>
    <xf numFmtId="0" fontId="36" fillId="0" borderId="103" xfId="33" applyFont="1" applyFill="1" applyBorder="1" applyAlignment="1" applyProtection="1">
      <alignment horizontal="center" vertical="center" wrapText="1"/>
      <protection hidden="1"/>
    </xf>
    <xf numFmtId="0" fontId="36" fillId="0" borderId="10" xfId="33" applyFont="1" applyFill="1" applyBorder="1" applyAlignment="1" applyProtection="1">
      <alignment horizontal="center" vertical="center" wrapText="1"/>
      <protection hidden="1"/>
    </xf>
    <xf numFmtId="0" fontId="36" fillId="0" borderId="25" xfId="33" applyFont="1" applyFill="1" applyBorder="1" applyAlignment="1" applyProtection="1">
      <alignment horizontal="center" vertical="center" wrapText="1"/>
      <protection hidden="1"/>
    </xf>
    <xf numFmtId="0" fontId="119" fillId="33" borderId="0" xfId="0" applyFont="1" applyFill="1" applyBorder="1" applyAlignment="1" applyProtection="1">
      <alignment horizontal="center" vertical="center"/>
      <protection hidden="1"/>
    </xf>
    <xf numFmtId="0" fontId="119" fillId="0" borderId="0" xfId="0" applyFont="1" applyBorder="1" applyAlignment="1">
      <alignment horizontal="center" vertical="center"/>
    </xf>
    <xf numFmtId="0" fontId="139" fillId="0" borderId="10" xfId="0" applyFont="1" applyFill="1" applyBorder="1" applyAlignment="1" applyProtection="1">
      <alignment horizontal="left" vertical="center"/>
      <protection hidden="1"/>
    </xf>
    <xf numFmtId="0" fontId="62" fillId="0" borderId="103" xfId="0" applyFont="1" applyFill="1" applyBorder="1" applyAlignment="1" applyProtection="1">
      <alignment horizontal="left" vertical="center"/>
      <protection hidden="1"/>
    </xf>
    <xf numFmtId="0" fontId="62" fillId="0" borderId="10" xfId="0" applyFont="1" applyFill="1" applyBorder="1" applyAlignment="1" applyProtection="1">
      <alignment horizontal="left" vertical="center"/>
      <protection hidden="1"/>
    </xf>
    <xf numFmtId="0" fontId="56" fillId="0" borderId="103" xfId="33" applyFont="1" applyFill="1" applyBorder="1" applyAlignment="1" applyProtection="1">
      <alignment horizontal="left" vertical="center" wrapText="1"/>
      <protection hidden="1"/>
    </xf>
    <xf numFmtId="0" fontId="56" fillId="0" borderId="10" xfId="33" applyFont="1" applyFill="1" applyBorder="1" applyAlignment="1" applyProtection="1">
      <alignment horizontal="left" vertical="center" wrapText="1"/>
      <protection hidden="1"/>
    </xf>
    <xf numFmtId="0" fontId="138" fillId="37" borderId="10" xfId="0" applyFont="1" applyFill="1" applyBorder="1" applyAlignment="1" applyProtection="1">
      <alignment horizontal="left" vertical="center"/>
      <protection hidden="1"/>
    </xf>
    <xf numFmtId="0" fontId="138" fillId="37" borderId="25" xfId="0" applyFont="1" applyFill="1" applyBorder="1" applyAlignment="1" applyProtection="1">
      <alignment horizontal="left" vertical="center"/>
      <protection hidden="1"/>
    </xf>
    <xf numFmtId="0" fontId="56" fillId="37" borderId="116" xfId="0" applyFont="1" applyFill="1" applyBorder="1" applyAlignment="1" applyProtection="1">
      <alignment horizontal="left" vertical="center"/>
      <protection hidden="1"/>
    </xf>
    <xf numFmtId="0" fontId="56" fillId="37" borderId="154" xfId="0" applyFont="1" applyFill="1" applyBorder="1" applyAlignment="1" applyProtection="1">
      <alignment horizontal="left" vertical="center"/>
      <protection hidden="1"/>
    </xf>
    <xf numFmtId="0" fontId="56" fillId="37" borderId="156" xfId="0" applyFont="1" applyFill="1" applyBorder="1" applyAlignment="1" applyProtection="1">
      <alignment horizontal="left" vertical="center"/>
      <protection hidden="1"/>
    </xf>
    <xf numFmtId="0" fontId="119" fillId="0" borderId="65" xfId="0" applyFont="1" applyBorder="1" applyAlignment="1">
      <alignment horizontal="left" vertical="center"/>
    </xf>
    <xf numFmtId="0" fontId="119" fillId="0" borderId="11" xfId="0" applyFont="1" applyBorder="1" applyAlignment="1">
      <alignment horizontal="left" vertical="center"/>
    </xf>
    <xf numFmtId="0" fontId="109" fillId="0" borderId="157" xfId="0" applyFont="1" applyBorder="1" applyAlignment="1">
      <alignment horizontal="center" vertical="center" wrapText="1"/>
    </xf>
    <xf numFmtId="0" fontId="109" fillId="0" borderId="158" xfId="0" applyFont="1" applyBorder="1" applyAlignment="1">
      <alignment horizontal="center" vertical="center" wrapText="1"/>
    </xf>
    <xf numFmtId="0" fontId="109" fillId="0" borderId="137" xfId="0" applyFont="1" applyBorder="1" applyAlignment="1">
      <alignment horizontal="center" vertical="center" wrapText="1"/>
    </xf>
    <xf numFmtId="0" fontId="2" fillId="40" borderId="0" xfId="0" applyFont="1" applyFill="1" applyBorder="1" applyAlignment="1" applyProtection="1">
      <alignment horizontal="center" vertical="center"/>
      <protection hidden="1"/>
    </xf>
    <xf numFmtId="0" fontId="24" fillId="40" borderId="0" xfId="0" applyFont="1" applyFill="1" applyBorder="1" applyAlignment="1" applyProtection="1">
      <alignment horizontal="center" vertical="center"/>
      <protection hidden="1"/>
    </xf>
    <xf numFmtId="0" fontId="0" fillId="43" borderId="75" xfId="0" applyFill="1" applyBorder="1" applyAlignment="1">
      <alignment vertical="center"/>
    </xf>
    <xf numFmtId="0" fontId="0" fillId="43" borderId="159" xfId="0" applyFill="1" applyBorder="1" applyAlignment="1">
      <alignment vertical="center"/>
    </xf>
    <xf numFmtId="0" fontId="0" fillId="43" borderId="126" xfId="0" applyFill="1" applyBorder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P Micropulse" xfId="33"/>
    <cellStyle name="Normal_Multipulse" xfId="34"/>
    <cellStyle name="Normal_OM series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sp>
      <xdr:nvSpPr>
        <xdr:cNvPr id="1" name="Rectangle 51"/>
        <xdr:cNvSpPr>
          <a:spLocks/>
        </xdr:cNvSpPr>
      </xdr:nvSpPr>
      <xdr:spPr>
        <a:xfrm>
          <a:off x="6962775" y="1476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1085850</xdr:colOff>
      <xdr:row>3</xdr:row>
      <xdr:rowOff>361950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5800"/>
          <a:ext cx="10477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47625</xdr:rowOff>
    </xdr:from>
    <xdr:to>
      <xdr:col>0</xdr:col>
      <xdr:colOff>1257300</xdr:colOff>
      <xdr:row>0</xdr:row>
      <xdr:rowOff>371475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10477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darkont.ru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darkont.ru/" TargetMode="Externa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darkont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darkont.ru/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arkont.ru/" TargetMode="External" /><Relationship Id="rId2" Type="http://schemas.openxmlformats.org/officeDocument/2006/relationships/hyperlink" Target="http://trimec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arkont.ru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arkont.ru/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arkont.ru/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darkont.ru/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darkont.ru/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darkont.ru/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" sqref="F4"/>
    </sheetView>
  </sheetViews>
  <sheetFormatPr defaultColWidth="9.140625" defaultRowHeight="15"/>
  <sheetData>
    <row r="1" ht="15">
      <c r="A1">
        <v>1.1</v>
      </c>
    </row>
  </sheetData>
  <sheetProtection password="C651" sheet="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5"/>
  <sheetViews>
    <sheetView showGridLines="0" zoomScalePageLayoutView="0" workbookViewId="0" topLeftCell="A1">
      <selection activeCell="Z14" sqref="Z14"/>
    </sheetView>
  </sheetViews>
  <sheetFormatPr defaultColWidth="9.140625" defaultRowHeight="15"/>
  <cols>
    <col min="1" max="1" width="9.28125" style="0" customWidth="1"/>
    <col min="2" max="2" width="0.5625" style="0" customWidth="1"/>
    <col min="3" max="3" width="3.00390625" style="0" customWidth="1"/>
    <col min="4" max="4" width="0.42578125" style="0" customWidth="1"/>
    <col min="5" max="5" width="3.140625" style="0" customWidth="1"/>
    <col min="6" max="6" width="0.5625" style="0" customWidth="1"/>
    <col min="7" max="7" width="3.140625" style="0" customWidth="1"/>
    <col min="8" max="8" width="0.9921875" style="0" customWidth="1"/>
    <col min="9" max="9" width="4.140625" style="0" customWidth="1"/>
    <col min="10" max="10" width="1.57421875" style="0" customWidth="1"/>
    <col min="11" max="11" width="2.7109375" style="0" customWidth="1"/>
    <col min="12" max="12" width="0.5625" style="0" customWidth="1"/>
    <col min="13" max="13" width="2.8515625" style="0" customWidth="1"/>
    <col min="14" max="14" width="0.9921875" style="0" customWidth="1"/>
    <col min="15" max="15" width="1.28515625" style="0" customWidth="1"/>
    <col min="16" max="16" width="1.421875" style="0" customWidth="1"/>
    <col min="17" max="17" width="1.28515625" style="0" customWidth="1"/>
    <col min="18" max="18" width="2.140625" style="0" customWidth="1"/>
    <col min="19" max="19" width="2.421875" style="0" customWidth="1"/>
    <col min="20" max="20" width="2.57421875" style="0" customWidth="1"/>
    <col min="21" max="21" width="8.421875" style="0" customWidth="1"/>
    <col min="22" max="22" width="54.28125" style="0" customWidth="1"/>
    <col min="23" max="23" width="8.140625" style="0" customWidth="1"/>
    <col min="24" max="24" width="10.28125" style="0" customWidth="1"/>
  </cols>
  <sheetData>
    <row r="1" spans="1:25" s="473" customFormat="1" ht="18.75" customHeight="1">
      <c r="A1" s="819"/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  <c r="P1" s="820"/>
      <c r="Q1" s="820"/>
      <c r="R1" s="820"/>
      <c r="S1" s="820"/>
      <c r="T1" s="820"/>
      <c r="U1" s="820"/>
      <c r="V1" s="820"/>
      <c r="W1" s="821" t="s">
        <v>152</v>
      </c>
      <c r="X1" s="822"/>
      <c r="Y1" s="1143"/>
    </row>
    <row r="2" spans="1:25" s="532" customFormat="1" ht="15" customHeight="1">
      <c r="A2" s="1653" t="s">
        <v>645</v>
      </c>
      <c r="B2" s="1654"/>
      <c r="C2" s="1654"/>
      <c r="D2" s="1654"/>
      <c r="E2" s="1654"/>
      <c r="F2" s="1654"/>
      <c r="G2" s="1654"/>
      <c r="H2" s="1654"/>
      <c r="I2" s="1654"/>
      <c r="J2" s="1654"/>
      <c r="K2" s="1654"/>
      <c r="L2" s="1654"/>
      <c r="M2" s="1654"/>
      <c r="N2" s="1654"/>
      <c r="O2" s="1654"/>
      <c r="P2" s="1654"/>
      <c r="Q2" s="1654"/>
      <c r="R2" s="1654"/>
      <c r="S2" s="1654"/>
      <c r="T2" s="1654"/>
      <c r="U2" s="1654"/>
      <c r="V2" s="1654"/>
      <c r="W2" s="818" t="s">
        <v>165</v>
      </c>
      <c r="X2" s="823"/>
      <c r="Y2" s="1146"/>
    </row>
    <row r="3" spans="1:25" s="532" customFormat="1" ht="12.75" customHeight="1">
      <c r="A3" s="1655" t="s">
        <v>164</v>
      </c>
      <c r="B3" s="1237"/>
      <c r="C3" s="1237"/>
      <c r="D3" s="1237"/>
      <c r="E3" s="1237"/>
      <c r="F3" s="1237"/>
      <c r="G3" s="1237"/>
      <c r="H3" s="1237"/>
      <c r="I3" s="1237"/>
      <c r="J3" s="1237"/>
      <c r="K3" s="1237"/>
      <c r="L3" s="1237"/>
      <c r="M3" s="1237"/>
      <c r="N3" s="1237"/>
      <c r="O3" s="1237"/>
      <c r="P3" s="1237"/>
      <c r="Q3" s="1237"/>
      <c r="R3" s="1237"/>
      <c r="S3" s="1237"/>
      <c r="T3" s="1237"/>
      <c r="U3" s="1237"/>
      <c r="V3" s="1237"/>
      <c r="W3" s="963" t="s">
        <v>624</v>
      </c>
      <c r="X3" s="482"/>
      <c r="Y3" s="615"/>
    </row>
    <row r="4" spans="1:24" s="532" customFormat="1" ht="4.5" customHeight="1">
      <c r="A4" s="824"/>
      <c r="B4" s="825"/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  <c r="W4" s="825"/>
      <c r="X4" s="825"/>
    </row>
    <row r="5" spans="1:24" s="532" customFormat="1" ht="25.5" customHeight="1" thickBot="1">
      <c r="A5" s="826" t="s">
        <v>547</v>
      </c>
      <c r="B5" s="1656" t="s">
        <v>548</v>
      </c>
      <c r="C5" s="1657"/>
      <c r="D5" s="1657"/>
      <c r="E5" s="1657"/>
      <c r="F5" s="1657"/>
      <c r="G5" s="1657"/>
      <c r="H5" s="1657"/>
      <c r="I5" s="1657"/>
      <c r="J5" s="1657"/>
      <c r="K5" s="1657"/>
      <c r="L5" s="1657"/>
      <c r="M5" s="1657"/>
      <c r="N5" s="1657"/>
      <c r="O5" s="1657"/>
      <c r="P5" s="1657"/>
      <c r="Q5" s="1657"/>
      <c r="R5" s="1657"/>
      <c r="S5" s="1657"/>
      <c r="T5" s="1657"/>
      <c r="U5" s="1657"/>
      <c r="V5" s="1657"/>
      <c r="W5" s="616" t="s">
        <v>549</v>
      </c>
      <c r="X5" s="617" t="s">
        <v>174</v>
      </c>
    </row>
    <row r="6" spans="1:24" s="532" customFormat="1" ht="15" customHeight="1" thickBot="1">
      <c r="A6" s="827" t="s">
        <v>643</v>
      </c>
      <c r="B6" s="1638" t="s">
        <v>648</v>
      </c>
      <c r="C6" s="1633"/>
      <c r="D6" s="1633"/>
      <c r="E6" s="1633"/>
      <c r="F6" s="1633"/>
      <c r="G6" s="1633"/>
      <c r="H6" s="1633"/>
      <c r="I6" s="1633"/>
      <c r="J6" s="1633"/>
      <c r="K6" s="1633"/>
      <c r="L6" s="1633"/>
      <c r="M6" s="1633"/>
      <c r="N6" s="1633"/>
      <c r="O6" s="1633"/>
      <c r="P6" s="1633"/>
      <c r="Q6" s="1633"/>
      <c r="R6" s="1633"/>
      <c r="S6" s="1633"/>
      <c r="T6" s="1633"/>
      <c r="U6" s="1633"/>
      <c r="V6" s="1659"/>
      <c r="W6" s="624" t="s">
        <v>647</v>
      </c>
      <c r="X6" s="621">
        <f>Лист1!A1*28200</f>
        <v>31020.000000000004</v>
      </c>
    </row>
    <row r="7" spans="1:24" s="532" customFormat="1" ht="13.5" customHeight="1" thickBot="1">
      <c r="A7" s="828" t="s">
        <v>646</v>
      </c>
      <c r="B7" s="1663" t="s">
        <v>649</v>
      </c>
      <c r="C7" s="1633"/>
      <c r="D7" s="1633"/>
      <c r="E7" s="1633"/>
      <c r="F7" s="1633"/>
      <c r="G7" s="1633"/>
      <c r="H7" s="1633"/>
      <c r="I7" s="1633"/>
      <c r="J7" s="1633"/>
      <c r="K7" s="1633"/>
      <c r="L7" s="1633"/>
      <c r="M7" s="1633"/>
      <c r="N7" s="1633"/>
      <c r="O7" s="1633"/>
      <c r="P7" s="1633"/>
      <c r="Q7" s="1633"/>
      <c r="R7" s="1633"/>
      <c r="S7" s="1633"/>
      <c r="T7" s="1633"/>
      <c r="U7" s="1633"/>
      <c r="V7" s="1659"/>
      <c r="W7" s="624" t="s">
        <v>647</v>
      </c>
      <c r="X7" s="625">
        <f>Лист1!A1*28200</f>
        <v>31020.000000000004</v>
      </c>
    </row>
    <row r="8" spans="1:24" s="532" customFormat="1" ht="22.5" customHeight="1" thickBot="1">
      <c r="A8" s="1629" t="s">
        <v>559</v>
      </c>
      <c r="B8" s="1630"/>
      <c r="C8" s="1630"/>
      <c r="D8" s="1630"/>
      <c r="E8" s="1630"/>
      <c r="F8" s="1630"/>
      <c r="G8" s="1630"/>
      <c r="H8" s="1630"/>
      <c r="I8" s="1630"/>
      <c r="J8" s="1630"/>
      <c r="K8" s="1630"/>
      <c r="L8" s="1630"/>
      <c r="M8" s="1630"/>
      <c r="N8" s="1630"/>
      <c r="O8" s="1630"/>
      <c r="P8" s="1630"/>
      <c r="Q8" s="1630"/>
      <c r="R8" s="1630"/>
      <c r="S8" s="1630"/>
      <c r="T8" s="1630"/>
      <c r="U8" s="1630"/>
      <c r="V8" s="1630"/>
      <c r="W8" s="1630"/>
      <c r="X8" s="627" t="s">
        <v>560</v>
      </c>
    </row>
    <row r="9" spans="1:24" s="532" customFormat="1" ht="15" customHeight="1" thickBot="1">
      <c r="A9" s="628"/>
      <c r="B9" s="626"/>
      <c r="C9" s="831">
        <v>0</v>
      </c>
      <c r="D9" s="1632" t="s">
        <v>693</v>
      </c>
      <c r="E9" s="1636"/>
      <c r="F9" s="1632"/>
      <c r="G9" s="1632"/>
      <c r="H9" s="1632"/>
      <c r="I9" s="1632"/>
      <c r="J9" s="1632"/>
      <c r="K9" s="1632"/>
      <c r="L9" s="1632"/>
      <c r="M9" s="1632"/>
      <c r="N9" s="1632"/>
      <c r="O9" s="1632"/>
      <c r="P9" s="1632"/>
      <c r="Q9" s="1632"/>
      <c r="R9" s="1632"/>
      <c r="S9" s="1632"/>
      <c r="T9" s="1632"/>
      <c r="U9" s="1632"/>
      <c r="V9" s="1632"/>
      <c r="W9" s="1637"/>
      <c r="X9" s="629" t="s">
        <v>36</v>
      </c>
    </row>
    <row r="10" spans="1:24" s="532" customFormat="1" ht="10.5" customHeight="1" thickBot="1">
      <c r="A10" s="1629" t="s">
        <v>564</v>
      </c>
      <c r="B10" s="1630"/>
      <c r="C10" s="1630"/>
      <c r="D10" s="1630"/>
      <c r="E10" s="1630"/>
      <c r="F10" s="1630"/>
      <c r="G10" s="1630"/>
      <c r="H10" s="1630"/>
      <c r="I10" s="1630"/>
      <c r="J10" s="1630"/>
      <c r="K10" s="1630"/>
      <c r="L10" s="1630"/>
      <c r="M10" s="1630"/>
      <c r="N10" s="1630"/>
      <c r="O10" s="1630"/>
      <c r="P10" s="1630"/>
      <c r="Q10" s="1630"/>
      <c r="R10" s="1630"/>
      <c r="S10" s="1630"/>
      <c r="T10" s="1630"/>
      <c r="U10" s="1630"/>
      <c r="V10" s="1630"/>
      <c r="W10" s="1631"/>
      <c r="X10" s="632"/>
    </row>
    <row r="11" spans="1:24" s="532" customFormat="1" ht="12.75" thickBot="1">
      <c r="A11" s="628"/>
      <c r="B11" s="626"/>
      <c r="C11" s="626"/>
      <c r="D11" s="823"/>
      <c r="E11" s="827" t="s">
        <v>34</v>
      </c>
      <c r="F11" s="1648" t="s">
        <v>565</v>
      </c>
      <c r="G11" s="1636"/>
      <c r="H11" s="1636"/>
      <c r="I11" s="1636"/>
      <c r="J11" s="1636"/>
      <c r="K11" s="1636"/>
      <c r="L11" s="1636"/>
      <c r="M11" s="1636"/>
      <c r="N11" s="1636"/>
      <c r="O11" s="1636"/>
      <c r="P11" s="1636"/>
      <c r="Q11" s="1636"/>
      <c r="R11" s="1636"/>
      <c r="S11" s="1636"/>
      <c r="T11" s="1636"/>
      <c r="U11" s="1636"/>
      <c r="V11" s="1636"/>
      <c r="W11" s="1664"/>
      <c r="X11" s="633" t="s">
        <v>36</v>
      </c>
    </row>
    <row r="12" spans="1:24" s="532" customFormat="1" ht="15.75" thickBot="1">
      <c r="A12" s="1629" t="s">
        <v>566</v>
      </c>
      <c r="B12" s="1630"/>
      <c r="C12" s="1630"/>
      <c r="D12" s="1630"/>
      <c r="E12" s="1630"/>
      <c r="F12" s="1630"/>
      <c r="G12" s="1630"/>
      <c r="H12" s="1630"/>
      <c r="I12" s="1630"/>
      <c r="J12" s="1630"/>
      <c r="K12" s="1630"/>
      <c r="L12" s="1630"/>
      <c r="M12" s="1630"/>
      <c r="N12" s="1630"/>
      <c r="O12" s="1630"/>
      <c r="P12" s="1630"/>
      <c r="Q12" s="1630"/>
      <c r="R12" s="1630"/>
      <c r="S12" s="1630"/>
      <c r="T12" s="1630"/>
      <c r="U12" s="1630"/>
      <c r="V12" s="1630"/>
      <c r="W12" s="1631"/>
      <c r="X12" s="632"/>
    </row>
    <row r="13" spans="1:24" s="532" customFormat="1" ht="15.75" thickBot="1">
      <c r="A13" s="628"/>
      <c r="B13" s="626"/>
      <c r="C13" s="1145"/>
      <c r="D13" s="1145"/>
      <c r="E13" s="1145"/>
      <c r="F13" s="1145"/>
      <c r="G13" s="827">
        <v>1</v>
      </c>
      <c r="H13" s="1648" t="s">
        <v>694</v>
      </c>
      <c r="I13" s="1627"/>
      <c r="J13" s="1627"/>
      <c r="K13" s="1627"/>
      <c r="L13" s="1627"/>
      <c r="M13" s="1627"/>
      <c r="N13" s="1627"/>
      <c r="O13" s="1627"/>
      <c r="P13" s="1627"/>
      <c r="Q13" s="1627"/>
      <c r="R13" s="1627"/>
      <c r="S13" s="1627"/>
      <c r="T13" s="1627"/>
      <c r="U13" s="1627"/>
      <c r="V13" s="1627"/>
      <c r="W13" s="1628"/>
      <c r="X13" s="633" t="s">
        <v>36</v>
      </c>
    </row>
    <row r="14" spans="1:24" s="532" customFormat="1" ht="15.75" thickBot="1">
      <c r="A14" s="628"/>
      <c r="B14" s="626"/>
      <c r="C14" s="1145"/>
      <c r="D14" s="1145"/>
      <c r="E14" s="1145"/>
      <c r="F14" s="1145"/>
      <c r="G14" s="827">
        <v>2</v>
      </c>
      <c r="H14" s="1648" t="s">
        <v>695</v>
      </c>
      <c r="I14" s="1627"/>
      <c r="J14" s="1627"/>
      <c r="K14" s="1627"/>
      <c r="L14" s="1627"/>
      <c r="M14" s="1627"/>
      <c r="N14" s="1627"/>
      <c r="O14" s="1627"/>
      <c r="P14" s="1627"/>
      <c r="Q14" s="1627"/>
      <c r="R14" s="1627"/>
      <c r="S14" s="1627"/>
      <c r="T14" s="1627"/>
      <c r="U14" s="1627"/>
      <c r="V14" s="1627"/>
      <c r="W14" s="1628"/>
      <c r="X14" s="633" t="s">
        <v>36</v>
      </c>
    </row>
    <row r="15" spans="1:24" s="532" customFormat="1" ht="15.75" thickBot="1">
      <c r="A15" s="1629" t="s">
        <v>568</v>
      </c>
      <c r="B15" s="1630"/>
      <c r="C15" s="1630"/>
      <c r="D15" s="1630"/>
      <c r="E15" s="1630"/>
      <c r="F15" s="1630"/>
      <c r="G15" s="1630"/>
      <c r="H15" s="1630"/>
      <c r="I15" s="1630"/>
      <c r="J15" s="1630"/>
      <c r="K15" s="1630"/>
      <c r="L15" s="1630"/>
      <c r="M15" s="1630"/>
      <c r="N15" s="1630"/>
      <c r="O15" s="1630"/>
      <c r="P15" s="1630"/>
      <c r="Q15" s="1630"/>
      <c r="R15" s="1630"/>
      <c r="S15" s="1630"/>
      <c r="T15" s="1630"/>
      <c r="U15" s="1630"/>
      <c r="V15" s="1630"/>
      <c r="W15" s="1631"/>
      <c r="X15" s="632"/>
    </row>
    <row r="16" spans="1:24" s="532" customFormat="1" ht="15.75" thickBot="1">
      <c r="A16" s="1144"/>
      <c r="B16" s="1145"/>
      <c r="C16" s="1145"/>
      <c r="D16" s="1145"/>
      <c r="E16" s="1145"/>
      <c r="F16" s="1145"/>
      <c r="G16" s="1145"/>
      <c r="H16" s="1145"/>
      <c r="I16" s="827" t="s">
        <v>650</v>
      </c>
      <c r="J16" s="1648" t="s">
        <v>692</v>
      </c>
      <c r="K16" s="1627"/>
      <c r="L16" s="1627"/>
      <c r="M16" s="1627"/>
      <c r="N16" s="1627"/>
      <c r="O16" s="1627"/>
      <c r="P16" s="1627"/>
      <c r="Q16" s="1627"/>
      <c r="R16" s="1627"/>
      <c r="S16" s="1627"/>
      <c r="T16" s="1627"/>
      <c r="U16" s="1627"/>
      <c r="V16" s="1627"/>
      <c r="W16" s="1628"/>
      <c r="X16" s="633" t="s">
        <v>36</v>
      </c>
    </row>
    <row r="17" spans="1:24" s="532" customFormat="1" ht="15.75" thickBot="1">
      <c r="A17" s="1144"/>
      <c r="B17" s="1145"/>
      <c r="C17" s="1145"/>
      <c r="D17" s="1145"/>
      <c r="E17" s="1145"/>
      <c r="F17" s="1145"/>
      <c r="G17" s="1145"/>
      <c r="H17" s="1145"/>
      <c r="I17" s="827" t="s">
        <v>651</v>
      </c>
      <c r="J17" s="1648" t="s">
        <v>705</v>
      </c>
      <c r="K17" s="1627"/>
      <c r="L17" s="1627"/>
      <c r="M17" s="1627"/>
      <c r="N17" s="1627"/>
      <c r="O17" s="1627"/>
      <c r="P17" s="1627"/>
      <c r="Q17" s="1627"/>
      <c r="R17" s="1627"/>
      <c r="S17" s="1627"/>
      <c r="T17" s="1627"/>
      <c r="U17" s="1627"/>
      <c r="V17" s="1627"/>
      <c r="W17" s="1628"/>
      <c r="X17" s="1089">
        <f>Лист1!A1*12740</f>
        <v>14014.000000000002</v>
      </c>
    </row>
    <row r="18" spans="1:24" s="532" customFormat="1" ht="12.75" customHeight="1" thickBot="1">
      <c r="A18" s="1629" t="s">
        <v>652</v>
      </c>
      <c r="B18" s="1630"/>
      <c r="C18" s="1630"/>
      <c r="D18" s="1630"/>
      <c r="E18" s="1630"/>
      <c r="F18" s="1630"/>
      <c r="G18" s="1630"/>
      <c r="H18" s="1630"/>
      <c r="I18" s="1630"/>
      <c r="J18" s="1630"/>
      <c r="K18" s="1630"/>
      <c r="L18" s="1630"/>
      <c r="M18" s="1630"/>
      <c r="N18" s="1630"/>
      <c r="O18" s="1630"/>
      <c r="P18" s="1630"/>
      <c r="Q18" s="1630"/>
      <c r="R18" s="1630"/>
      <c r="S18" s="1630"/>
      <c r="T18" s="1630"/>
      <c r="U18" s="1630"/>
      <c r="V18" s="1630"/>
      <c r="W18" s="1631"/>
      <c r="X18" s="632"/>
    </row>
    <row r="19" spans="1:24" s="532" customFormat="1" ht="12.75" thickBot="1">
      <c r="A19" s="1144"/>
      <c r="B19" s="1145"/>
      <c r="C19" s="1145"/>
      <c r="D19" s="1145"/>
      <c r="E19" s="1145"/>
      <c r="F19" s="1145"/>
      <c r="G19" s="1145"/>
      <c r="H19" s="1145"/>
      <c r="I19" s="1145"/>
      <c r="J19" s="1145" t="s">
        <v>36</v>
      </c>
      <c r="K19" s="831" t="s">
        <v>32</v>
      </c>
      <c r="L19" s="1665" t="s">
        <v>691</v>
      </c>
      <c r="M19" s="1666"/>
      <c r="N19" s="1666"/>
      <c r="O19" s="1666"/>
      <c r="P19" s="1666"/>
      <c r="Q19" s="1666"/>
      <c r="R19" s="1666"/>
      <c r="S19" s="1666"/>
      <c r="T19" s="1666"/>
      <c r="U19" s="1666"/>
      <c r="V19" s="1666"/>
      <c r="W19" s="1667"/>
      <c r="X19" s="625">
        <f>Лист1!A1*1690</f>
        <v>1859.0000000000002</v>
      </c>
    </row>
    <row r="20" spans="1:24" s="532" customFormat="1" ht="12.75" thickBot="1">
      <c r="A20" s="1635" t="s">
        <v>579</v>
      </c>
      <c r="B20" s="1668"/>
      <c r="C20" s="1668"/>
      <c r="D20" s="1669"/>
      <c r="E20" s="1668"/>
      <c r="F20" s="1668"/>
      <c r="G20" s="1668"/>
      <c r="H20" s="1668"/>
      <c r="I20" s="1668"/>
      <c r="J20" s="1668"/>
      <c r="K20" s="1668"/>
      <c r="L20" s="1668"/>
      <c r="M20" s="1668"/>
      <c r="N20" s="1145"/>
      <c r="O20" s="1145"/>
      <c r="P20" s="1145"/>
      <c r="Q20" s="1145"/>
      <c r="R20" s="1145"/>
      <c r="S20" s="1145"/>
      <c r="T20" s="1145"/>
      <c r="U20" s="1145"/>
      <c r="V20" s="1145"/>
      <c r="W20" s="1145"/>
      <c r="X20" s="1145"/>
    </row>
    <row r="21" spans="1:24" s="532" customFormat="1" ht="12.75" thickBot="1">
      <c r="A21" s="830" t="s">
        <v>643</v>
      </c>
      <c r="B21" s="639"/>
      <c r="C21" s="830">
        <v>0</v>
      </c>
      <c r="D21" s="639"/>
      <c r="E21" s="830" t="s">
        <v>34</v>
      </c>
      <c r="F21" s="639"/>
      <c r="G21" s="830">
        <v>2</v>
      </c>
      <c r="H21" s="639"/>
      <c r="I21" s="830" t="s">
        <v>650</v>
      </c>
      <c r="J21" s="639" t="s">
        <v>36</v>
      </c>
      <c r="K21" s="830" t="s">
        <v>32</v>
      </c>
      <c r="L21" s="1145"/>
      <c r="M21" s="1145"/>
      <c r="N21" s="1145"/>
      <c r="O21" s="1145"/>
      <c r="P21" s="1145"/>
      <c r="Q21" s="1145"/>
      <c r="R21" s="1145"/>
      <c r="S21" s="1145"/>
      <c r="T21" s="1145"/>
      <c r="U21" s="1145"/>
      <c r="V21" s="1145"/>
      <c r="W21" s="1145"/>
      <c r="X21" s="641"/>
    </row>
    <row r="22" spans="1:24" s="532" customFormat="1" ht="7.5" customHeight="1">
      <c r="A22" s="1144"/>
      <c r="B22" s="1145"/>
      <c r="C22" s="1145"/>
      <c r="D22" s="1145"/>
      <c r="E22" s="1145"/>
      <c r="F22" s="1145"/>
      <c r="G22" s="1145"/>
      <c r="H22" s="1145"/>
      <c r="I22" s="1145"/>
      <c r="J22" s="1145"/>
      <c r="K22" s="1145"/>
      <c r="L22" s="1145"/>
      <c r="M22" s="626"/>
      <c r="N22" s="1145"/>
      <c r="O22" s="1145"/>
      <c r="P22" s="1145"/>
      <c r="Q22" s="1145"/>
      <c r="R22" s="1145"/>
      <c r="S22" s="1145"/>
      <c r="T22" s="1145"/>
      <c r="U22" s="1145"/>
      <c r="V22" s="1145"/>
      <c r="W22" s="1145"/>
      <c r="X22" s="640"/>
    </row>
    <row r="23" spans="1:27" s="532" customFormat="1" ht="12.75" thickBot="1">
      <c r="A23" s="829" t="s">
        <v>582</v>
      </c>
      <c r="B23" s="1611" t="s">
        <v>689</v>
      </c>
      <c r="C23" s="1611"/>
      <c r="D23" s="1611"/>
      <c r="E23" s="1611"/>
      <c r="F23" s="1611"/>
      <c r="G23" s="1611"/>
      <c r="H23" s="1611"/>
      <c r="I23" s="1611"/>
      <c r="J23" s="1611"/>
      <c r="K23" s="1611"/>
      <c r="L23" s="1611"/>
      <c r="M23" s="1611"/>
      <c r="N23" s="1611"/>
      <c r="O23" s="1611"/>
      <c r="P23" s="1611"/>
      <c r="Q23" s="1611"/>
      <c r="R23" s="1611"/>
      <c r="S23" s="1611"/>
      <c r="T23" s="1611"/>
      <c r="U23" s="1611"/>
      <c r="V23" s="1611"/>
      <c r="W23" s="1611"/>
      <c r="X23" s="642" t="s">
        <v>528</v>
      </c>
      <c r="AA23" s="725"/>
    </row>
    <row r="24" spans="1:24" s="532" customFormat="1" ht="12.75" thickBot="1">
      <c r="A24" s="832">
        <v>1304002</v>
      </c>
      <c r="B24" s="1642" t="s">
        <v>669</v>
      </c>
      <c r="C24" s="1643"/>
      <c r="D24" s="1643"/>
      <c r="E24" s="1643"/>
      <c r="F24" s="1643"/>
      <c r="G24" s="1643"/>
      <c r="H24" s="1643"/>
      <c r="I24" s="1643"/>
      <c r="J24" s="1643"/>
      <c r="K24" s="1643"/>
      <c r="L24" s="1643"/>
      <c r="M24" s="1643"/>
      <c r="N24" s="1643"/>
      <c r="O24" s="1643"/>
      <c r="P24" s="1643"/>
      <c r="Q24" s="1643"/>
      <c r="R24" s="1643"/>
      <c r="S24" s="1643"/>
      <c r="T24" s="1643"/>
      <c r="U24" s="1643"/>
      <c r="V24" s="1643"/>
      <c r="W24" s="1643"/>
      <c r="X24" s="621">
        <f>Лист1!A1*1690</f>
        <v>1859.0000000000002</v>
      </c>
    </row>
    <row r="25" spans="1:24" s="532" customFormat="1" ht="12.75" thickBot="1">
      <c r="A25" s="832">
        <v>1312007</v>
      </c>
      <c r="B25" s="1644" t="s">
        <v>670</v>
      </c>
      <c r="C25" s="1670"/>
      <c r="D25" s="1670"/>
      <c r="E25" s="1670"/>
      <c r="F25" s="1670"/>
      <c r="G25" s="1670"/>
      <c r="H25" s="1670"/>
      <c r="I25" s="1670"/>
      <c r="J25" s="1670"/>
      <c r="K25" s="1670"/>
      <c r="L25" s="1670"/>
      <c r="M25" s="1670"/>
      <c r="N25" s="1670"/>
      <c r="O25" s="1670"/>
      <c r="P25" s="1670"/>
      <c r="Q25" s="1670"/>
      <c r="R25" s="1670"/>
      <c r="S25" s="1670"/>
      <c r="T25" s="1670"/>
      <c r="U25" s="1670"/>
      <c r="V25" s="1670"/>
      <c r="W25" s="1670"/>
      <c r="X25" s="622">
        <f>Лист1!A1*520</f>
        <v>572</v>
      </c>
    </row>
    <row r="26" spans="1:24" s="532" customFormat="1" ht="12.75" thickBot="1">
      <c r="A26" s="832">
        <v>1312030</v>
      </c>
      <c r="B26" s="1646" t="s">
        <v>671</v>
      </c>
      <c r="C26" s="1647"/>
      <c r="D26" s="1647"/>
      <c r="E26" s="1647"/>
      <c r="F26" s="1647"/>
      <c r="G26" s="1647"/>
      <c r="H26" s="1647"/>
      <c r="I26" s="1647"/>
      <c r="J26" s="1647"/>
      <c r="K26" s="1647"/>
      <c r="L26" s="1647"/>
      <c r="M26" s="1647"/>
      <c r="N26" s="1647"/>
      <c r="O26" s="1647"/>
      <c r="P26" s="1647"/>
      <c r="Q26" s="1647"/>
      <c r="R26" s="1647"/>
      <c r="S26" s="1647"/>
      <c r="T26" s="1647"/>
      <c r="U26" s="1647"/>
      <c r="V26" s="1647"/>
      <c r="W26" s="1647"/>
      <c r="X26" s="622">
        <f>Лист1!A1*13520</f>
        <v>14872.000000000002</v>
      </c>
    </row>
    <row r="27" spans="1:24" s="532" customFormat="1" ht="13.5" thickBot="1">
      <c r="A27" s="832">
        <v>1312042</v>
      </c>
      <c r="B27" s="1671" t="s">
        <v>672</v>
      </c>
      <c r="C27" s="1672"/>
      <c r="D27" s="1672"/>
      <c r="E27" s="1672"/>
      <c r="F27" s="1672"/>
      <c r="G27" s="1672"/>
      <c r="H27" s="1672"/>
      <c r="I27" s="1672"/>
      <c r="J27" s="1672"/>
      <c r="K27" s="1672"/>
      <c r="L27" s="1672"/>
      <c r="M27" s="1672"/>
      <c r="N27" s="1672"/>
      <c r="O27" s="1672"/>
      <c r="P27" s="1672"/>
      <c r="Q27" s="1672"/>
      <c r="R27" s="1672"/>
      <c r="S27" s="1672"/>
      <c r="T27" s="1672"/>
      <c r="U27" s="1672"/>
      <c r="V27" s="1672"/>
      <c r="W27" s="1672"/>
      <c r="X27" s="636">
        <f>Лист1!A1*520</f>
        <v>572</v>
      </c>
    </row>
    <row r="28" spans="1:24" s="532" customFormat="1" ht="12.75" thickBot="1">
      <c r="A28" s="832">
        <v>130803114</v>
      </c>
      <c r="B28" s="1673" t="s">
        <v>673</v>
      </c>
      <c r="C28" s="1674"/>
      <c r="D28" s="1674"/>
      <c r="E28" s="1674"/>
      <c r="F28" s="1674"/>
      <c r="G28" s="1674"/>
      <c r="H28" s="1674"/>
      <c r="I28" s="1674"/>
      <c r="J28" s="1674"/>
      <c r="K28" s="1674"/>
      <c r="L28" s="1674"/>
      <c r="M28" s="1674"/>
      <c r="N28" s="1674"/>
      <c r="O28" s="1674"/>
      <c r="P28" s="1674"/>
      <c r="Q28" s="1674"/>
      <c r="R28" s="1674"/>
      <c r="S28" s="1674"/>
      <c r="T28" s="1674"/>
      <c r="U28" s="1674"/>
      <c r="V28" s="1674"/>
      <c r="W28" s="1674"/>
      <c r="X28" s="622">
        <f>Лист1!A1*130</f>
        <v>143</v>
      </c>
    </row>
    <row r="29" spans="1:24" s="532" customFormat="1" ht="12.75" thickBot="1">
      <c r="A29" s="832">
        <v>1319027</v>
      </c>
      <c r="B29" s="1643" t="s">
        <v>674</v>
      </c>
      <c r="C29" s="1643"/>
      <c r="D29" s="1643"/>
      <c r="E29" s="1643"/>
      <c r="F29" s="1643"/>
      <c r="G29" s="1643"/>
      <c r="H29" s="1643"/>
      <c r="I29" s="1643"/>
      <c r="J29" s="1643"/>
      <c r="K29" s="1643"/>
      <c r="L29" s="1643"/>
      <c r="M29" s="1643"/>
      <c r="N29" s="1643"/>
      <c r="O29" s="1643"/>
      <c r="P29" s="1643"/>
      <c r="Q29" s="1643"/>
      <c r="R29" s="1643"/>
      <c r="S29" s="1643"/>
      <c r="T29" s="1643"/>
      <c r="U29" s="1643"/>
      <c r="V29" s="1643"/>
      <c r="W29" s="1643"/>
      <c r="X29" s="635">
        <f>Лист1!A1*390</f>
        <v>429.00000000000006</v>
      </c>
    </row>
    <row r="30" spans="1:24" s="532" customFormat="1" ht="12.75" thickBot="1">
      <c r="A30" s="832">
        <v>1319028</v>
      </c>
      <c r="B30" s="1644" t="s">
        <v>675</v>
      </c>
      <c r="C30" s="1645"/>
      <c r="D30" s="1645"/>
      <c r="E30" s="1645"/>
      <c r="F30" s="1645"/>
      <c r="G30" s="1645"/>
      <c r="H30" s="1645"/>
      <c r="I30" s="1645"/>
      <c r="J30" s="1645"/>
      <c r="K30" s="1645"/>
      <c r="L30" s="1645"/>
      <c r="M30" s="1645"/>
      <c r="N30" s="1645"/>
      <c r="O30" s="1645"/>
      <c r="P30" s="1645"/>
      <c r="Q30" s="1645"/>
      <c r="R30" s="1645"/>
      <c r="S30" s="1645"/>
      <c r="T30" s="1645"/>
      <c r="U30" s="1645"/>
      <c r="V30" s="1645"/>
      <c r="W30" s="1645"/>
      <c r="X30" s="622">
        <f>Лист1!A1*390</f>
        <v>429.00000000000006</v>
      </c>
    </row>
    <row r="31" spans="1:24" s="532" customFormat="1" ht="12.75" thickBot="1">
      <c r="A31" s="832">
        <v>1319032</v>
      </c>
      <c r="B31" s="1644" t="s">
        <v>676</v>
      </c>
      <c r="C31" s="1645"/>
      <c r="D31" s="1645"/>
      <c r="E31" s="1645"/>
      <c r="F31" s="1645"/>
      <c r="G31" s="1645"/>
      <c r="H31" s="1645"/>
      <c r="I31" s="1645"/>
      <c r="J31" s="1645"/>
      <c r="K31" s="1645"/>
      <c r="L31" s="1645"/>
      <c r="M31" s="1645"/>
      <c r="N31" s="1645"/>
      <c r="O31" s="1645"/>
      <c r="P31" s="1645"/>
      <c r="Q31" s="1645"/>
      <c r="R31" s="1645"/>
      <c r="S31" s="1645"/>
      <c r="T31" s="1645"/>
      <c r="U31" s="1645"/>
      <c r="V31" s="1645"/>
      <c r="W31" s="1645"/>
      <c r="X31" s="622">
        <f>Лист1!A1*30</f>
        <v>33</v>
      </c>
    </row>
    <row r="32" spans="1:24" s="532" customFormat="1" ht="12.75" thickBot="1">
      <c r="A32" s="832">
        <v>1402038</v>
      </c>
      <c r="B32" s="1647" t="s">
        <v>677</v>
      </c>
      <c r="C32" s="1647"/>
      <c r="D32" s="1647"/>
      <c r="E32" s="1647"/>
      <c r="F32" s="1647"/>
      <c r="G32" s="1647"/>
      <c r="H32" s="1647"/>
      <c r="I32" s="1647"/>
      <c r="J32" s="1647"/>
      <c r="K32" s="1647"/>
      <c r="L32" s="1647"/>
      <c r="M32" s="1647"/>
      <c r="N32" s="1647"/>
      <c r="O32" s="1647"/>
      <c r="P32" s="1647"/>
      <c r="Q32" s="1647"/>
      <c r="R32" s="1647"/>
      <c r="S32" s="1647"/>
      <c r="T32" s="1647"/>
      <c r="U32" s="1647"/>
      <c r="V32" s="1647"/>
      <c r="W32" s="1647"/>
      <c r="X32" s="635">
        <f>Лист1!A1*390</f>
        <v>429.00000000000006</v>
      </c>
    </row>
    <row r="33" spans="1:24" s="532" customFormat="1" ht="12.75" thickBot="1">
      <c r="A33" s="832">
        <v>1502005</v>
      </c>
      <c r="B33" s="1642" t="s">
        <v>678</v>
      </c>
      <c r="C33" s="1643"/>
      <c r="D33" s="1643"/>
      <c r="E33" s="1643"/>
      <c r="F33" s="1643"/>
      <c r="G33" s="1643"/>
      <c r="H33" s="1643"/>
      <c r="I33" s="1643"/>
      <c r="J33" s="1643"/>
      <c r="K33" s="1643"/>
      <c r="L33" s="1643"/>
      <c r="M33" s="1643"/>
      <c r="N33" s="1643"/>
      <c r="O33" s="1643"/>
      <c r="P33" s="1643"/>
      <c r="Q33" s="1643"/>
      <c r="R33" s="1643"/>
      <c r="S33" s="1643"/>
      <c r="T33" s="1643"/>
      <c r="U33" s="1643"/>
      <c r="V33" s="1643"/>
      <c r="W33" s="1643"/>
      <c r="X33" s="635">
        <f>Лист1!A1*2600</f>
        <v>2860.0000000000005</v>
      </c>
    </row>
    <row r="34" spans="1:24" s="532" customFormat="1" ht="12.75" thickBot="1">
      <c r="A34" s="832">
        <v>15002002</v>
      </c>
      <c r="B34" s="1644" t="s">
        <v>679</v>
      </c>
      <c r="C34" s="1670"/>
      <c r="D34" s="1670"/>
      <c r="E34" s="1670"/>
      <c r="F34" s="1670"/>
      <c r="G34" s="1670"/>
      <c r="H34" s="1670"/>
      <c r="I34" s="1670"/>
      <c r="J34" s="1670"/>
      <c r="K34" s="1670"/>
      <c r="L34" s="1670"/>
      <c r="M34" s="1670"/>
      <c r="N34" s="1670"/>
      <c r="O34" s="1670"/>
      <c r="P34" s="1670"/>
      <c r="Q34" s="1670"/>
      <c r="R34" s="1670"/>
      <c r="S34" s="1670"/>
      <c r="T34" s="1670"/>
      <c r="U34" s="1670"/>
      <c r="V34" s="1670"/>
      <c r="W34" s="1670"/>
      <c r="X34" s="635">
        <f>Лист1!A1*520</f>
        <v>572</v>
      </c>
    </row>
    <row r="35" spans="1:24" s="532" customFormat="1" ht="12.75" thickBot="1">
      <c r="A35" s="832">
        <v>1512004</v>
      </c>
      <c r="B35" s="1647" t="s">
        <v>680</v>
      </c>
      <c r="C35" s="1647"/>
      <c r="D35" s="1647"/>
      <c r="E35" s="1647"/>
      <c r="F35" s="1647"/>
      <c r="G35" s="1647"/>
      <c r="H35" s="1647"/>
      <c r="I35" s="1647"/>
      <c r="J35" s="1647"/>
      <c r="K35" s="1647"/>
      <c r="L35" s="1647"/>
      <c r="M35" s="1647"/>
      <c r="N35" s="1647"/>
      <c r="O35" s="1647"/>
      <c r="P35" s="1647"/>
      <c r="Q35" s="1647"/>
      <c r="R35" s="1647"/>
      <c r="S35" s="1647"/>
      <c r="T35" s="1647"/>
      <c r="U35" s="1647"/>
      <c r="V35" s="1647"/>
      <c r="W35" s="1647"/>
      <c r="X35" s="635">
        <f>Лист1!A1*16000</f>
        <v>17600</v>
      </c>
    </row>
    <row r="36" spans="1:24" s="532" customFormat="1" ht="12.75" thickBot="1">
      <c r="A36" s="832">
        <v>1512005</v>
      </c>
      <c r="B36" s="1648" t="s">
        <v>681</v>
      </c>
      <c r="C36" s="1636"/>
      <c r="D36" s="1636"/>
      <c r="E36" s="1636"/>
      <c r="F36" s="1636"/>
      <c r="G36" s="1636"/>
      <c r="H36" s="1636"/>
      <c r="I36" s="1636"/>
      <c r="J36" s="1636"/>
      <c r="K36" s="1636"/>
      <c r="L36" s="1636"/>
      <c r="M36" s="1636"/>
      <c r="N36" s="1636"/>
      <c r="O36" s="1636"/>
      <c r="P36" s="1636"/>
      <c r="Q36" s="1636"/>
      <c r="R36" s="1636"/>
      <c r="S36" s="1636"/>
      <c r="T36" s="1636"/>
      <c r="U36" s="1636"/>
      <c r="V36" s="1636"/>
      <c r="W36" s="1636"/>
      <c r="X36" s="726">
        <f>Лист1!A1*17600</f>
        <v>19360</v>
      </c>
    </row>
    <row r="37" spans="1:24" s="532" customFormat="1" ht="12.75" thickBot="1">
      <c r="A37" s="832">
        <v>130802901</v>
      </c>
      <c r="B37" s="1648" t="s">
        <v>682</v>
      </c>
      <c r="C37" s="1636"/>
      <c r="D37" s="1636"/>
      <c r="E37" s="1636"/>
      <c r="F37" s="1636"/>
      <c r="G37" s="1636"/>
      <c r="H37" s="1636"/>
      <c r="I37" s="1636"/>
      <c r="J37" s="1636"/>
      <c r="K37" s="1636"/>
      <c r="L37" s="1636"/>
      <c r="M37" s="1636"/>
      <c r="N37" s="1636"/>
      <c r="O37" s="1636"/>
      <c r="P37" s="1636"/>
      <c r="Q37" s="1636"/>
      <c r="R37" s="1636"/>
      <c r="S37" s="1636"/>
      <c r="T37" s="1636"/>
      <c r="U37" s="1636"/>
      <c r="V37" s="1636"/>
      <c r="W37" s="1636"/>
      <c r="X37" s="622">
        <f>Лист1!A1*280</f>
        <v>308</v>
      </c>
    </row>
    <row r="38" spans="1:24" s="532" customFormat="1" ht="12">
      <c r="A38" s="833">
        <v>130803110</v>
      </c>
      <c r="B38" s="1680" t="s">
        <v>683</v>
      </c>
      <c r="C38" s="1681"/>
      <c r="D38" s="1681"/>
      <c r="E38" s="1681"/>
      <c r="F38" s="1681"/>
      <c r="G38" s="1681"/>
      <c r="H38" s="1681"/>
      <c r="I38" s="1681"/>
      <c r="J38" s="1681"/>
      <c r="K38" s="1681"/>
      <c r="L38" s="1681"/>
      <c r="M38" s="1681"/>
      <c r="N38" s="1681"/>
      <c r="O38" s="1681"/>
      <c r="P38" s="1681"/>
      <c r="Q38" s="1681"/>
      <c r="R38" s="1681"/>
      <c r="S38" s="1681"/>
      <c r="T38" s="1681"/>
      <c r="U38" s="1681"/>
      <c r="V38" s="1681"/>
      <c r="W38" s="1681"/>
      <c r="X38" s="625">
        <f>Лист1!A1*30</f>
        <v>33</v>
      </c>
    </row>
    <row r="39" spans="1:24" s="532" customFormat="1" ht="12.75" thickBot="1">
      <c r="A39" s="829" t="s">
        <v>582</v>
      </c>
      <c r="B39" s="1611" t="s">
        <v>690</v>
      </c>
      <c r="C39" s="1611"/>
      <c r="D39" s="1611"/>
      <c r="E39" s="1611"/>
      <c r="F39" s="1611"/>
      <c r="G39" s="1611"/>
      <c r="H39" s="1611"/>
      <c r="I39" s="1611"/>
      <c r="J39" s="1611"/>
      <c r="K39" s="1611"/>
      <c r="L39" s="1611"/>
      <c r="M39" s="1611"/>
      <c r="N39" s="1611"/>
      <c r="O39" s="1611"/>
      <c r="P39" s="1611"/>
      <c r="Q39" s="1611"/>
      <c r="R39" s="1611"/>
      <c r="S39" s="1611"/>
      <c r="T39" s="1611"/>
      <c r="U39" s="1611"/>
      <c r="V39" s="1611"/>
      <c r="W39" s="1611"/>
      <c r="X39" s="642" t="s">
        <v>528</v>
      </c>
    </row>
    <row r="40" spans="1:24" s="532" customFormat="1" ht="12.75" thickBot="1">
      <c r="A40" s="831" t="s">
        <v>653</v>
      </c>
      <c r="B40" s="1593" t="s">
        <v>684</v>
      </c>
      <c r="C40" s="1594"/>
      <c r="D40" s="1594"/>
      <c r="E40" s="1594"/>
      <c r="F40" s="1594"/>
      <c r="G40" s="1594"/>
      <c r="H40" s="1594"/>
      <c r="I40" s="1594"/>
      <c r="J40" s="1594"/>
      <c r="K40" s="1594"/>
      <c r="L40" s="1594"/>
      <c r="M40" s="1594"/>
      <c r="N40" s="1594"/>
      <c r="O40" s="1594"/>
      <c r="P40" s="1594"/>
      <c r="Q40" s="1594"/>
      <c r="R40" s="1594"/>
      <c r="S40" s="1594"/>
      <c r="T40" s="1594"/>
      <c r="U40" s="1594"/>
      <c r="V40" s="1594"/>
      <c r="W40" s="1595"/>
      <c r="X40" s="621">
        <f>Лист1!A1*6800</f>
        <v>7480.000000000001</v>
      </c>
    </row>
    <row r="41" spans="1:24" s="532" customFormat="1" ht="12.75" thickBot="1">
      <c r="A41" s="831" t="s">
        <v>654</v>
      </c>
      <c r="B41" s="1596" t="s">
        <v>685</v>
      </c>
      <c r="C41" s="1597"/>
      <c r="D41" s="1597"/>
      <c r="E41" s="1597"/>
      <c r="F41" s="1597"/>
      <c r="G41" s="1597"/>
      <c r="H41" s="1597"/>
      <c r="I41" s="1597"/>
      <c r="J41" s="1597"/>
      <c r="K41" s="1597"/>
      <c r="L41" s="1597"/>
      <c r="M41" s="1597"/>
      <c r="N41" s="1597"/>
      <c r="O41" s="1597"/>
      <c r="P41" s="1597"/>
      <c r="Q41" s="1597"/>
      <c r="R41" s="1597"/>
      <c r="S41" s="1597"/>
      <c r="T41" s="1597"/>
      <c r="U41" s="1597"/>
      <c r="V41" s="1597"/>
      <c r="W41" s="1598"/>
      <c r="X41" s="622">
        <f>Лист1!A1*8970</f>
        <v>9867</v>
      </c>
    </row>
    <row r="42" spans="1:24" s="532" customFormat="1" ht="12.75" thickBot="1">
      <c r="A42" s="831" t="s">
        <v>655</v>
      </c>
      <c r="B42" s="1596" t="s">
        <v>686</v>
      </c>
      <c r="C42" s="1675"/>
      <c r="D42" s="1675"/>
      <c r="E42" s="1675"/>
      <c r="F42" s="1675"/>
      <c r="G42" s="1675"/>
      <c r="H42" s="1675"/>
      <c r="I42" s="1675"/>
      <c r="J42" s="1675"/>
      <c r="K42" s="1675"/>
      <c r="L42" s="1675"/>
      <c r="M42" s="1675"/>
      <c r="N42" s="1675"/>
      <c r="O42" s="1675"/>
      <c r="P42" s="1675"/>
      <c r="Q42" s="1675"/>
      <c r="R42" s="1675"/>
      <c r="S42" s="1675"/>
      <c r="T42" s="1675"/>
      <c r="U42" s="1675"/>
      <c r="V42" s="1675"/>
      <c r="W42" s="1676"/>
      <c r="X42" s="622">
        <f>Лист1!A1*9500</f>
        <v>10450</v>
      </c>
    </row>
    <row r="43" spans="1:24" s="532" customFormat="1" ht="12.75" thickBot="1">
      <c r="A43" s="831">
        <v>1312046</v>
      </c>
      <c r="B43" s="1596" t="s">
        <v>687</v>
      </c>
      <c r="C43" s="1597"/>
      <c r="D43" s="1597"/>
      <c r="E43" s="1597"/>
      <c r="F43" s="1597"/>
      <c r="G43" s="1597"/>
      <c r="H43" s="1597"/>
      <c r="I43" s="1597"/>
      <c r="J43" s="1597"/>
      <c r="K43" s="1597"/>
      <c r="L43" s="1597"/>
      <c r="M43" s="1597"/>
      <c r="N43" s="1597"/>
      <c r="O43" s="1597"/>
      <c r="P43" s="1597"/>
      <c r="Q43" s="1597"/>
      <c r="R43" s="1597"/>
      <c r="S43" s="1597"/>
      <c r="T43" s="1597"/>
      <c r="U43" s="1597"/>
      <c r="V43" s="1597"/>
      <c r="W43" s="1598"/>
      <c r="X43" s="622">
        <f>Лист1!A1*1430</f>
        <v>1573.0000000000002</v>
      </c>
    </row>
    <row r="44" spans="1:28" s="532" customFormat="1" ht="12.75" thickBot="1">
      <c r="A44" s="831">
        <v>1334002</v>
      </c>
      <c r="B44" s="1677" t="s">
        <v>688</v>
      </c>
      <c r="C44" s="1678"/>
      <c r="D44" s="1678"/>
      <c r="E44" s="1678"/>
      <c r="F44" s="1678"/>
      <c r="G44" s="1678"/>
      <c r="H44" s="1678"/>
      <c r="I44" s="1678"/>
      <c r="J44" s="1678"/>
      <c r="K44" s="1678"/>
      <c r="L44" s="1678"/>
      <c r="M44" s="1678"/>
      <c r="N44" s="1678"/>
      <c r="O44" s="1678"/>
      <c r="P44" s="1678"/>
      <c r="Q44" s="1678"/>
      <c r="R44" s="1678"/>
      <c r="S44" s="1678"/>
      <c r="T44" s="1678"/>
      <c r="U44" s="1678"/>
      <c r="V44" s="1678"/>
      <c r="W44" s="1679"/>
      <c r="X44" s="647">
        <f>Лист1!A1*1560</f>
        <v>1716.0000000000002</v>
      </c>
      <c r="AB44" s="727"/>
    </row>
    <row r="45" spans="1:24" ht="15">
      <c r="A45" s="425"/>
      <c r="B45" s="425"/>
      <c r="C45" s="425"/>
      <c r="D45" s="425"/>
      <c r="E45" s="425"/>
      <c r="F45" s="425"/>
      <c r="G45" s="42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  <c r="T45" s="425"/>
      <c r="U45" s="425"/>
      <c r="V45" s="425"/>
      <c r="W45" s="98"/>
      <c r="X45" s="649"/>
    </row>
  </sheetData>
  <sheetProtection password="C651" sheet="1"/>
  <mergeCells count="40">
    <mergeCell ref="B32:W32"/>
    <mergeCell ref="B33:W33"/>
    <mergeCell ref="B35:W35"/>
    <mergeCell ref="B34:W34"/>
    <mergeCell ref="B36:W36"/>
    <mergeCell ref="B37:W37"/>
    <mergeCell ref="B28:W28"/>
    <mergeCell ref="B29:W29"/>
    <mergeCell ref="B42:W42"/>
    <mergeCell ref="B43:W43"/>
    <mergeCell ref="B44:W44"/>
    <mergeCell ref="B39:W39"/>
    <mergeCell ref="B38:W38"/>
    <mergeCell ref="B40:W40"/>
    <mergeCell ref="B41:W41"/>
    <mergeCell ref="B31:W31"/>
    <mergeCell ref="A20:M20"/>
    <mergeCell ref="B23:W23"/>
    <mergeCell ref="B24:W24"/>
    <mergeCell ref="B25:W25"/>
    <mergeCell ref="B26:W26"/>
    <mergeCell ref="B27:W27"/>
    <mergeCell ref="B30:W30"/>
    <mergeCell ref="L19:W19"/>
    <mergeCell ref="F11:W11"/>
    <mergeCell ref="A12:W12"/>
    <mergeCell ref="H13:W13"/>
    <mergeCell ref="A15:W15"/>
    <mergeCell ref="J16:W16"/>
    <mergeCell ref="J17:W17"/>
    <mergeCell ref="A18:W18"/>
    <mergeCell ref="H14:W14"/>
    <mergeCell ref="A10:W10"/>
    <mergeCell ref="A2:V2"/>
    <mergeCell ref="A3:V3"/>
    <mergeCell ref="B5:V5"/>
    <mergeCell ref="B6:V6"/>
    <mergeCell ref="B7:V7"/>
    <mergeCell ref="A8:W8"/>
    <mergeCell ref="D9:W9"/>
  </mergeCells>
  <hyperlinks>
    <hyperlink ref="W2" r:id="rId1" display="www.darkont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5">
      <selection activeCell="C15" sqref="C15"/>
    </sheetView>
  </sheetViews>
  <sheetFormatPr defaultColWidth="9.140625" defaultRowHeight="15"/>
  <cols>
    <col min="1" max="1" width="5.421875" style="0" customWidth="1"/>
    <col min="2" max="2" width="67.57421875" style="0" customWidth="1"/>
    <col min="3" max="3" width="10.57421875" style="0" customWidth="1"/>
    <col min="4" max="4" width="23.57421875" style="0" customWidth="1"/>
  </cols>
  <sheetData>
    <row r="1" spans="1:4" ht="18.75">
      <c r="A1" s="1685"/>
      <c r="B1" s="1685"/>
      <c r="C1" s="1685"/>
      <c r="D1" s="817" t="s">
        <v>152</v>
      </c>
    </row>
    <row r="2" spans="1:4" ht="18.75">
      <c r="A2" s="1686" t="s">
        <v>814</v>
      </c>
      <c r="B2" s="1686"/>
      <c r="C2" s="1686"/>
      <c r="D2" s="889" t="s">
        <v>165</v>
      </c>
    </row>
    <row r="3" spans="1:4" ht="15.75" thickBot="1">
      <c r="A3" s="1237" t="s">
        <v>164</v>
      </c>
      <c r="B3" s="1237"/>
      <c r="C3" s="1237"/>
      <c r="D3" s="963" t="s">
        <v>624</v>
      </c>
    </row>
    <row r="4" spans="1:4" ht="30.75" thickBot="1">
      <c r="A4" s="1120" t="s">
        <v>796</v>
      </c>
      <c r="B4" s="1119" t="s">
        <v>817</v>
      </c>
      <c r="C4" s="1115" t="s">
        <v>704</v>
      </c>
      <c r="D4" s="1119" t="s">
        <v>816</v>
      </c>
    </row>
    <row r="5" spans="1:4" ht="15.75" thickBot="1">
      <c r="A5" s="1123" t="s">
        <v>797</v>
      </c>
      <c r="B5" s="1118" t="s">
        <v>815</v>
      </c>
      <c r="C5" s="1122">
        <v>6000</v>
      </c>
      <c r="D5" s="1121" t="s">
        <v>799</v>
      </c>
    </row>
    <row r="6" spans="1:4" ht="19.5" customHeight="1" thickBot="1">
      <c r="A6" s="1682" t="s">
        <v>214</v>
      </c>
      <c r="B6" s="1683"/>
      <c r="C6" s="1683"/>
      <c r="D6" s="1684"/>
    </row>
    <row r="7" spans="1:4" ht="15.75" customHeight="1" thickBot="1">
      <c r="A7" s="1123" t="s">
        <v>797</v>
      </c>
      <c r="B7" s="1116" t="s">
        <v>798</v>
      </c>
      <c r="C7" s="1122">
        <v>1800</v>
      </c>
      <c r="D7" s="1124" t="s">
        <v>799</v>
      </c>
    </row>
    <row r="8" spans="1:4" ht="17.25" customHeight="1" thickBot="1">
      <c r="A8" s="1123" t="s">
        <v>800</v>
      </c>
      <c r="B8" s="1116" t="s">
        <v>801</v>
      </c>
      <c r="C8" s="1121">
        <v>4900</v>
      </c>
      <c r="D8" s="1116" t="s">
        <v>802</v>
      </c>
    </row>
    <row r="9" spans="1:4" ht="32.25" customHeight="1" thickBot="1">
      <c r="A9" s="1123" t="s">
        <v>803</v>
      </c>
      <c r="B9" s="1116" t="s">
        <v>804</v>
      </c>
      <c r="C9" s="1121">
        <v>5800</v>
      </c>
      <c r="D9" s="1116" t="s">
        <v>802</v>
      </c>
    </row>
    <row r="10" spans="1:4" ht="22.5" customHeight="1" thickBot="1">
      <c r="A10" s="1682" t="s">
        <v>805</v>
      </c>
      <c r="B10" s="1683"/>
      <c r="C10" s="1683"/>
      <c r="D10" s="1684"/>
    </row>
    <row r="11" spans="1:4" ht="15" customHeight="1" thickBot="1">
      <c r="A11" s="1123" t="s">
        <v>821</v>
      </c>
      <c r="B11" s="1117" t="s">
        <v>806</v>
      </c>
      <c r="C11" s="1121">
        <v>800</v>
      </c>
      <c r="D11" s="1116" t="s">
        <v>799</v>
      </c>
    </row>
    <row r="12" spans="1:4" ht="15.75" customHeight="1" thickBot="1">
      <c r="A12" s="1123" t="s">
        <v>820</v>
      </c>
      <c r="B12" s="1116" t="s">
        <v>818</v>
      </c>
      <c r="C12" s="1121">
        <v>1950</v>
      </c>
      <c r="D12" s="1116" t="s">
        <v>807</v>
      </c>
    </row>
    <row r="13" spans="1:4" ht="14.25" customHeight="1" thickBot="1">
      <c r="A13" s="1123" t="s">
        <v>822</v>
      </c>
      <c r="B13" s="1116" t="s">
        <v>819</v>
      </c>
      <c r="C13" s="1121">
        <v>795</v>
      </c>
      <c r="D13" s="1116" t="s">
        <v>807</v>
      </c>
    </row>
    <row r="14" spans="1:4" ht="18" customHeight="1" thickBot="1">
      <c r="A14" s="1123" t="s">
        <v>823</v>
      </c>
      <c r="B14" s="1117" t="s">
        <v>808</v>
      </c>
      <c r="C14" s="1121">
        <v>350</v>
      </c>
      <c r="D14" s="1116" t="s">
        <v>807</v>
      </c>
    </row>
    <row r="15" spans="1:4" ht="16.5" customHeight="1" thickBot="1">
      <c r="A15" s="1123" t="s">
        <v>824</v>
      </c>
      <c r="B15" s="1117" t="s">
        <v>809</v>
      </c>
      <c r="C15" s="1121">
        <v>350</v>
      </c>
      <c r="D15" s="1116" t="s">
        <v>807</v>
      </c>
    </row>
    <row r="16" spans="1:4" ht="30" customHeight="1" thickBot="1">
      <c r="A16" s="1123" t="s">
        <v>825</v>
      </c>
      <c r="B16" s="1117" t="s">
        <v>810</v>
      </c>
      <c r="C16" s="1121">
        <v>5300</v>
      </c>
      <c r="D16" s="1116"/>
    </row>
    <row r="17" spans="1:4" ht="32.25" customHeight="1" thickBot="1">
      <c r="A17" s="1123" t="s">
        <v>826</v>
      </c>
      <c r="B17" s="1117" t="s">
        <v>811</v>
      </c>
      <c r="C17" s="1121">
        <v>900</v>
      </c>
      <c r="D17" s="1116" t="s">
        <v>799</v>
      </c>
    </row>
    <row r="18" spans="1:4" ht="34.5" customHeight="1" thickBot="1">
      <c r="A18" s="1123" t="s">
        <v>827</v>
      </c>
      <c r="B18" s="1117" t="s">
        <v>812</v>
      </c>
      <c r="C18" s="1121">
        <v>2700</v>
      </c>
      <c r="D18" s="1116" t="s">
        <v>807</v>
      </c>
    </row>
    <row r="19" spans="1:4" ht="33" customHeight="1" thickBot="1">
      <c r="A19" s="1123" t="s">
        <v>828</v>
      </c>
      <c r="B19" s="1117" t="s">
        <v>813</v>
      </c>
      <c r="C19" s="1121">
        <v>1900</v>
      </c>
      <c r="D19" s="1116" t="s">
        <v>807</v>
      </c>
    </row>
  </sheetData>
  <sheetProtection password="C651" sheet="1"/>
  <mergeCells count="5">
    <mergeCell ref="A10:D10"/>
    <mergeCell ref="A1:C1"/>
    <mergeCell ref="A2:C2"/>
    <mergeCell ref="A3:C3"/>
    <mergeCell ref="A6:D6"/>
  </mergeCells>
  <hyperlinks>
    <hyperlink ref="D2" r:id="rId1" display="http://darkont.ru"/>
  </hyperlinks>
  <printOptions/>
  <pageMargins left="0.7" right="0.7" top="0.75" bottom="0.75" header="0.3" footer="0.3"/>
  <pageSetup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3"/>
  <sheetViews>
    <sheetView showGridLines="0" zoomScalePageLayoutView="0" workbookViewId="0" topLeftCell="A7">
      <selection activeCell="C11" sqref="C11"/>
    </sheetView>
  </sheetViews>
  <sheetFormatPr defaultColWidth="9.140625" defaultRowHeight="15"/>
  <cols>
    <col min="1" max="1" width="9.7109375" style="0" customWidth="1"/>
    <col min="2" max="2" width="57.8515625" style="0" customWidth="1"/>
    <col min="3" max="3" width="20.421875" style="0" customWidth="1"/>
  </cols>
  <sheetData>
    <row r="1" spans="1:3" ht="18.75">
      <c r="A1" s="816"/>
      <c r="B1" s="816"/>
      <c r="C1" s="817" t="s">
        <v>152</v>
      </c>
    </row>
    <row r="2" spans="1:3" ht="17.25" customHeight="1">
      <c r="A2" s="1686" t="s">
        <v>711</v>
      </c>
      <c r="B2" s="1686"/>
      <c r="C2" s="889" t="s">
        <v>165</v>
      </c>
    </row>
    <row r="3" spans="1:3" ht="15" customHeight="1">
      <c r="A3" s="1237" t="s">
        <v>164</v>
      </c>
      <c r="B3" s="1237"/>
      <c r="C3" s="963" t="s">
        <v>624</v>
      </c>
    </row>
    <row r="4" spans="1:3" ht="33.75" customHeight="1">
      <c r="A4" s="814" t="s">
        <v>709</v>
      </c>
      <c r="B4" s="814" t="s">
        <v>710</v>
      </c>
      <c r="C4" s="964" t="s">
        <v>704</v>
      </c>
    </row>
    <row r="5" spans="1:3" ht="15">
      <c r="A5" s="815">
        <v>1</v>
      </c>
      <c r="B5" s="812" t="s">
        <v>696</v>
      </c>
      <c r="C5" s="813" t="s">
        <v>712</v>
      </c>
    </row>
    <row r="6" spans="1:3" ht="15">
      <c r="A6" s="814">
        <v>2</v>
      </c>
      <c r="B6" s="810" t="s">
        <v>697</v>
      </c>
      <c r="C6" s="980">
        <v>3800</v>
      </c>
    </row>
    <row r="7" spans="1:3" ht="30">
      <c r="A7" s="814">
        <v>3</v>
      </c>
      <c r="B7" s="810" t="s">
        <v>698</v>
      </c>
      <c r="C7" s="724" t="s">
        <v>832</v>
      </c>
    </row>
    <row r="8" spans="1:3" ht="30">
      <c r="A8" s="814">
        <v>4</v>
      </c>
      <c r="B8" s="810" t="s">
        <v>699</v>
      </c>
      <c r="C8" s="724" t="s">
        <v>833</v>
      </c>
    </row>
    <row r="9" spans="1:3" ht="30">
      <c r="A9" s="814">
        <v>5</v>
      </c>
      <c r="B9" s="810" t="s">
        <v>842</v>
      </c>
      <c r="C9" s="980">
        <v>12700</v>
      </c>
    </row>
    <row r="10" spans="1:3" ht="30">
      <c r="A10" s="814">
        <v>6</v>
      </c>
      <c r="B10" s="811" t="s">
        <v>700</v>
      </c>
      <c r="C10" s="967" t="s">
        <v>834</v>
      </c>
    </row>
    <row r="11" spans="1:3" ht="30">
      <c r="A11" s="814">
        <v>7</v>
      </c>
      <c r="B11" s="810" t="s">
        <v>701</v>
      </c>
      <c r="C11" s="724" t="s">
        <v>835</v>
      </c>
    </row>
    <row r="12" spans="1:3" ht="30">
      <c r="A12" s="814">
        <v>8</v>
      </c>
      <c r="B12" s="811" t="s">
        <v>702</v>
      </c>
      <c r="C12" s="965">
        <v>20600</v>
      </c>
    </row>
    <row r="13" spans="1:3" ht="30">
      <c r="A13" s="814">
        <v>9</v>
      </c>
      <c r="B13" s="810" t="s">
        <v>703</v>
      </c>
      <c r="C13" s="966">
        <v>21550</v>
      </c>
    </row>
  </sheetData>
  <sheetProtection password="C651" sheet="1"/>
  <mergeCells count="2">
    <mergeCell ref="A3:B3"/>
    <mergeCell ref="A2:B2"/>
  </mergeCells>
  <hyperlinks>
    <hyperlink ref="C2" r:id="rId1" display="http://darkont.r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"/>
  <sheetViews>
    <sheetView zoomScalePageLayoutView="0" workbookViewId="0" topLeftCell="A3">
      <selection activeCell="F16" sqref="F16"/>
    </sheetView>
  </sheetViews>
  <sheetFormatPr defaultColWidth="9.140625" defaultRowHeight="15"/>
  <cols>
    <col min="1" max="1" width="39.7109375" style="0" customWidth="1"/>
    <col min="2" max="15" width="7.8515625" style="0" customWidth="1"/>
  </cols>
  <sheetData>
    <row r="1" spans="1:15" s="969" customFormat="1" ht="30.75" customHeight="1" thickBot="1">
      <c r="A1" s="1687" t="s">
        <v>728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  <c r="M1" s="1688"/>
      <c r="N1" s="1688"/>
      <c r="O1" s="1689"/>
    </row>
    <row r="2" spans="1:15" ht="15">
      <c r="A2" s="977" t="s">
        <v>717</v>
      </c>
      <c r="B2" s="978" t="s">
        <v>718</v>
      </c>
      <c r="C2" s="978" t="s">
        <v>719</v>
      </c>
      <c r="D2" s="978" t="s">
        <v>720</v>
      </c>
      <c r="E2" s="978" t="s">
        <v>336</v>
      </c>
      <c r="F2" s="978" t="s">
        <v>344</v>
      </c>
      <c r="G2" s="978" t="s">
        <v>359</v>
      </c>
      <c r="H2" s="978" t="s">
        <v>721</v>
      </c>
      <c r="I2" s="978" t="s">
        <v>364</v>
      </c>
      <c r="J2" s="978" t="s">
        <v>370</v>
      </c>
      <c r="K2" s="978" t="s">
        <v>722</v>
      </c>
      <c r="L2" s="978" t="s">
        <v>376</v>
      </c>
      <c r="M2" s="978" t="s">
        <v>381</v>
      </c>
      <c r="N2" s="978" t="s">
        <v>723</v>
      </c>
      <c r="O2" s="979" t="s">
        <v>386</v>
      </c>
    </row>
    <row r="3" spans="1:15" ht="15">
      <c r="A3" s="971" t="s">
        <v>724</v>
      </c>
      <c r="B3" s="968">
        <v>510</v>
      </c>
      <c r="C3" s="968">
        <v>900</v>
      </c>
      <c r="D3" s="968">
        <v>990</v>
      </c>
      <c r="E3" s="968">
        <v>1260</v>
      </c>
      <c r="F3" s="968">
        <v>1350</v>
      </c>
      <c r="G3" s="968">
        <v>1890</v>
      </c>
      <c r="H3" s="968">
        <v>2610</v>
      </c>
      <c r="I3" s="968">
        <v>4500</v>
      </c>
      <c r="J3" s="968">
        <v>5400</v>
      </c>
      <c r="K3" s="968"/>
      <c r="L3" s="968"/>
      <c r="M3" s="968"/>
      <c r="N3" s="968"/>
      <c r="O3" s="972"/>
    </row>
    <row r="4" spans="1:15" ht="28.5" customHeight="1">
      <c r="A4" s="973" t="s">
        <v>725</v>
      </c>
      <c r="B4" s="970">
        <v>2160</v>
      </c>
      <c r="C4" s="970">
        <v>2250</v>
      </c>
      <c r="D4" s="970">
        <v>2340</v>
      </c>
      <c r="E4" s="970">
        <v>2610</v>
      </c>
      <c r="F4" s="970">
        <v>2700</v>
      </c>
      <c r="G4" s="970">
        <v>3240</v>
      </c>
      <c r="H4" s="970">
        <v>2960</v>
      </c>
      <c r="I4" s="970">
        <v>5850</v>
      </c>
      <c r="J4" s="970">
        <v>6750</v>
      </c>
      <c r="K4" s="968"/>
      <c r="L4" s="968"/>
      <c r="M4" s="968"/>
      <c r="N4" s="968"/>
      <c r="O4" s="972"/>
    </row>
    <row r="5" spans="1:15" ht="15">
      <c r="A5" s="971" t="s">
        <v>726</v>
      </c>
      <c r="B5" s="968"/>
      <c r="C5" s="968"/>
      <c r="D5" s="968"/>
      <c r="E5" s="968">
        <v>1620</v>
      </c>
      <c r="F5" s="968">
        <v>1800</v>
      </c>
      <c r="G5" s="968">
        <v>2160</v>
      </c>
      <c r="H5" s="968">
        <v>4410</v>
      </c>
      <c r="I5" s="968">
        <v>5220</v>
      </c>
      <c r="J5" s="968">
        <v>6050</v>
      </c>
      <c r="K5" s="968"/>
      <c r="L5" s="968"/>
      <c r="M5" s="968"/>
      <c r="N5" s="968"/>
      <c r="O5" s="972"/>
    </row>
    <row r="6" spans="1:15" ht="15.75" thickBot="1">
      <c r="A6" s="974" t="s">
        <v>727</v>
      </c>
      <c r="B6" s="975"/>
      <c r="C6" s="975"/>
      <c r="D6" s="975"/>
      <c r="E6" s="975">
        <v>2970</v>
      </c>
      <c r="F6" s="975">
        <v>3420</v>
      </c>
      <c r="G6" s="975">
        <v>4680</v>
      </c>
      <c r="H6" s="975">
        <v>6660</v>
      </c>
      <c r="I6" s="975">
        <v>7650</v>
      </c>
      <c r="J6" s="975">
        <v>8820</v>
      </c>
      <c r="K6" s="975">
        <v>20580</v>
      </c>
      <c r="L6" s="975">
        <v>22930</v>
      </c>
      <c r="M6" s="975">
        <v>29800</v>
      </c>
      <c r="N6" s="975">
        <v>57200</v>
      </c>
      <c r="O6" s="976">
        <v>68700</v>
      </c>
    </row>
  </sheetData>
  <sheetProtection password="C651" sheet="1"/>
  <mergeCells count="1">
    <mergeCell ref="A1:O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0"/>
  <sheetViews>
    <sheetView showGridLines="0" view="pageBreakPreview" zoomScale="60" workbookViewId="0" topLeftCell="A1">
      <selection activeCell="C6" sqref="C6"/>
    </sheetView>
  </sheetViews>
  <sheetFormatPr defaultColWidth="9.140625" defaultRowHeight="15"/>
  <cols>
    <col min="1" max="1" width="9.7109375" style="0" customWidth="1"/>
    <col min="2" max="2" width="57.8515625" style="0" customWidth="1"/>
    <col min="3" max="3" width="20.421875" style="0" customWidth="1"/>
  </cols>
  <sheetData>
    <row r="1" spans="1:3" ht="18.75">
      <c r="A1" s="816"/>
      <c r="B1" s="816"/>
      <c r="C1" s="817" t="s">
        <v>152</v>
      </c>
    </row>
    <row r="2" spans="1:3" ht="17.25" customHeight="1">
      <c r="A2" s="1686" t="s">
        <v>711</v>
      </c>
      <c r="B2" s="1686"/>
      <c r="C2" s="889" t="s">
        <v>165</v>
      </c>
    </row>
    <row r="3" spans="1:3" ht="15" customHeight="1">
      <c r="A3" s="1237" t="s">
        <v>164</v>
      </c>
      <c r="B3" s="1237"/>
      <c r="C3" s="963" t="s">
        <v>624</v>
      </c>
    </row>
    <row r="4" spans="1:3" ht="33.75" customHeight="1">
      <c r="A4" s="814" t="s">
        <v>709</v>
      </c>
      <c r="B4" s="814" t="s">
        <v>710</v>
      </c>
      <c r="C4" s="964" t="s">
        <v>704</v>
      </c>
    </row>
    <row r="5" spans="1:3" ht="15">
      <c r="A5" s="815">
        <v>1</v>
      </c>
      <c r="B5" s="1114" t="s">
        <v>792</v>
      </c>
      <c r="C5" s="1113">
        <v>7340</v>
      </c>
    </row>
    <row r="6" spans="1:3" ht="15">
      <c r="A6" s="814">
        <v>2</v>
      </c>
      <c r="B6" s="1112" t="s">
        <v>793</v>
      </c>
      <c r="C6" s="980">
        <v>5900</v>
      </c>
    </row>
    <row r="7" spans="1:3" ht="15">
      <c r="A7" s="814">
        <v>3</v>
      </c>
      <c r="B7" s="1114" t="s">
        <v>794</v>
      </c>
      <c r="C7" s="980">
        <v>8670</v>
      </c>
    </row>
    <row r="8" spans="1:3" ht="15">
      <c r="A8" s="814">
        <v>4</v>
      </c>
      <c r="B8" s="1112" t="s">
        <v>795</v>
      </c>
      <c r="C8" s="980">
        <v>7290</v>
      </c>
    </row>
    <row r="9" spans="1:3" ht="15">
      <c r="A9" s="814">
        <v>5</v>
      </c>
      <c r="B9" s="811"/>
      <c r="C9" s="967"/>
    </row>
    <row r="10" spans="1:3" ht="15">
      <c r="A10" s="814">
        <v>6</v>
      </c>
      <c r="B10" s="810"/>
      <c r="C10" s="724"/>
    </row>
  </sheetData>
  <sheetProtection password="C651" sheet="1" objects="1" scenarios="1"/>
  <mergeCells count="2">
    <mergeCell ref="A2:B2"/>
    <mergeCell ref="A3:B3"/>
  </mergeCells>
  <hyperlinks>
    <hyperlink ref="C2" r:id="rId1" display="http://darkont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9"/>
  <sheetViews>
    <sheetView showGridLines="0" tabSelected="1" zoomScale="106" zoomScaleNormal="106" zoomScaleSheetLayoutView="89" zoomScalePageLayoutView="0" workbookViewId="0" topLeftCell="A10">
      <selection activeCell="AB10" sqref="AB10"/>
    </sheetView>
  </sheetViews>
  <sheetFormatPr defaultColWidth="9.140625" defaultRowHeight="15"/>
  <cols>
    <col min="1" max="1" width="5.8515625" style="0" customWidth="1"/>
    <col min="2" max="2" width="0.2890625" style="0" customWidth="1"/>
    <col min="3" max="3" width="2.7109375" style="0" customWidth="1"/>
    <col min="4" max="4" width="0.42578125" style="0" customWidth="1"/>
    <col min="5" max="5" width="2.7109375" style="0" customWidth="1"/>
    <col min="6" max="6" width="0.42578125" style="0" customWidth="1"/>
    <col min="7" max="7" width="2.7109375" style="0" customWidth="1"/>
    <col min="8" max="8" width="0.5625" style="0" customWidth="1"/>
    <col min="9" max="9" width="2.7109375" style="0" customWidth="1"/>
    <col min="10" max="10" width="0.9921875" style="0" customWidth="1"/>
    <col min="11" max="11" width="2.7109375" style="0" customWidth="1"/>
    <col min="12" max="12" width="0.42578125" style="0" customWidth="1"/>
    <col min="13" max="13" width="2.7109375" style="0" customWidth="1"/>
    <col min="14" max="14" width="0.5625" style="0" customWidth="1"/>
    <col min="15" max="15" width="2.7109375" style="0" customWidth="1"/>
    <col min="16" max="16" width="0.71875" style="0" customWidth="1"/>
    <col min="17" max="17" width="2.7109375" style="0" customWidth="1"/>
    <col min="18" max="18" width="0.9921875" style="0" customWidth="1"/>
    <col min="19" max="19" width="2.7109375" style="0" customWidth="1"/>
    <col min="20" max="20" width="2.28125" style="0" customWidth="1"/>
    <col min="21" max="21" width="3.8515625" style="0" customWidth="1"/>
    <col min="23" max="23" width="36.28125" style="0" customWidth="1"/>
    <col min="24" max="26" width="5.7109375" style="151" customWidth="1"/>
    <col min="27" max="27" width="6.421875" style="151" customWidth="1"/>
    <col min="28" max="28" width="6.140625" style="151" customWidth="1"/>
    <col min="29" max="29" width="6.421875" style="151" customWidth="1"/>
    <col min="30" max="30" width="5.7109375" style="151" customWidth="1"/>
    <col min="31" max="31" width="6.28125" style="151" customWidth="1"/>
    <col min="32" max="32" width="6.140625" style="151" customWidth="1"/>
    <col min="33" max="33" width="6.421875" style="151" customWidth="1"/>
    <col min="34" max="34" width="6.8515625" style="151" customWidth="1"/>
  </cols>
  <sheetData>
    <row r="1" spans="1:34" ht="15" customHeight="1">
      <c r="A1" s="883"/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816"/>
      <c r="R1" s="816"/>
      <c r="S1" s="816"/>
      <c r="T1" s="816"/>
      <c r="U1" s="816"/>
      <c r="V1" s="816"/>
      <c r="W1" s="816"/>
      <c r="X1" s="816"/>
      <c r="Y1" s="816"/>
      <c r="Z1" s="816"/>
      <c r="AA1" s="816"/>
      <c r="AB1" s="816"/>
      <c r="AC1" s="816"/>
      <c r="AD1" s="816"/>
      <c r="AE1" s="817" t="s">
        <v>152</v>
      </c>
      <c r="AF1" s="884"/>
      <c r="AG1" s="885"/>
      <c r="AH1" s="894"/>
    </row>
    <row r="2" spans="1:34" ht="16.5" customHeight="1">
      <c r="A2" s="886"/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  <c r="Q2" s="888" t="s">
        <v>620</v>
      </c>
      <c r="R2" s="887"/>
      <c r="S2" s="887"/>
      <c r="T2" s="887"/>
      <c r="U2" s="887"/>
      <c r="V2" s="887"/>
      <c r="W2" s="887"/>
      <c r="X2" s="887"/>
      <c r="Y2" s="887"/>
      <c r="Z2" s="887"/>
      <c r="AA2" s="887"/>
      <c r="AB2" s="887"/>
      <c r="AC2" s="887"/>
      <c r="AD2" s="887"/>
      <c r="AE2" s="889" t="s">
        <v>165</v>
      </c>
      <c r="AF2" s="890"/>
      <c r="AG2" s="891"/>
      <c r="AH2" s="895"/>
    </row>
    <row r="3" spans="1:34" ht="14.25" customHeight="1">
      <c r="A3" s="892"/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1237" t="s">
        <v>164</v>
      </c>
      <c r="T3" s="1237"/>
      <c r="U3" s="1237"/>
      <c r="V3" s="1237"/>
      <c r="W3" s="1237"/>
      <c r="X3" s="1237"/>
      <c r="Y3" s="1237"/>
      <c r="Z3" s="1237"/>
      <c r="AA3" s="482"/>
      <c r="AB3" s="482"/>
      <c r="AC3" s="893"/>
      <c r="AD3" s="893"/>
      <c r="AE3" s="889" t="s">
        <v>624</v>
      </c>
      <c r="AF3" s="893"/>
      <c r="AG3" s="893"/>
      <c r="AH3" s="896"/>
    </row>
    <row r="4" spans="1:34" ht="10.5" customHeight="1">
      <c r="A4" s="178"/>
      <c r="B4" s="6"/>
      <c r="C4" s="179" t="s">
        <v>153</v>
      </c>
      <c r="D4" s="6"/>
      <c r="E4" s="6"/>
      <c r="F4" s="6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80"/>
      <c r="S4" s="180"/>
      <c r="T4" s="180"/>
      <c r="U4" s="180"/>
      <c r="V4" s="181"/>
      <c r="W4" s="181"/>
      <c r="X4" s="182"/>
      <c r="Y4" s="182"/>
      <c r="Z4" s="182"/>
      <c r="AA4" s="182"/>
      <c r="AB4" s="182"/>
      <c r="AC4" s="182"/>
      <c r="AD4" s="182"/>
      <c r="AE4" s="103"/>
      <c r="AF4" s="100"/>
      <c r="AG4" s="100"/>
      <c r="AH4" s="183"/>
    </row>
    <row r="5" spans="1:34" ht="15">
      <c r="A5" s="897" t="s">
        <v>0</v>
      </c>
      <c r="B5" s="2"/>
      <c r="C5" s="1218" t="s">
        <v>159</v>
      </c>
      <c r="D5" s="1218"/>
      <c r="E5" s="1218"/>
      <c r="F5" s="1218"/>
      <c r="G5" s="1218"/>
      <c r="H5" s="1218"/>
      <c r="I5" s="1218"/>
      <c r="J5" s="1218"/>
      <c r="K5" s="1218"/>
      <c r="L5" s="1218"/>
      <c r="M5" s="1218"/>
      <c r="N5" s="1218"/>
      <c r="O5" s="1218"/>
      <c r="P5" s="1218"/>
      <c r="Q5" s="1218"/>
      <c r="R5" s="1218"/>
      <c r="S5" s="1202" t="s">
        <v>1</v>
      </c>
      <c r="T5" s="1202"/>
      <c r="U5" s="1202"/>
      <c r="V5" s="675" t="s">
        <v>114</v>
      </c>
      <c r="W5" s="4"/>
      <c r="X5" s="901" t="s">
        <v>2</v>
      </c>
      <c r="Y5" s="748"/>
      <c r="Z5" s="101"/>
      <c r="AA5" s="101"/>
      <c r="AB5" s="102"/>
      <c r="AC5" s="101"/>
      <c r="AD5" s="101"/>
      <c r="AE5" s="101"/>
      <c r="AF5" s="185"/>
      <c r="AG5" s="185"/>
      <c r="AH5" s="186"/>
    </row>
    <row r="6" spans="1:34" ht="15">
      <c r="A6" s="898" t="s">
        <v>3</v>
      </c>
      <c r="B6" s="5"/>
      <c r="C6" s="1219" t="s">
        <v>70</v>
      </c>
      <c r="D6" s="1219"/>
      <c r="E6" s="1219"/>
      <c r="F6" s="1219"/>
      <c r="G6" s="1219"/>
      <c r="H6" s="1219"/>
      <c r="I6" s="1219"/>
      <c r="J6" s="1219"/>
      <c r="K6" s="1219"/>
      <c r="L6" s="1219"/>
      <c r="M6" s="1219"/>
      <c r="N6" s="1219"/>
      <c r="O6" s="1219"/>
      <c r="P6" s="1219"/>
      <c r="Q6" s="1219"/>
      <c r="R6" s="1219"/>
      <c r="S6" s="99" t="s">
        <v>4</v>
      </c>
      <c r="T6" s="3"/>
      <c r="U6" s="127"/>
      <c r="V6" s="675" t="s">
        <v>115</v>
      </c>
      <c r="W6" s="4"/>
      <c r="X6" s="902" t="s">
        <v>5</v>
      </c>
      <c r="Y6" s="749"/>
      <c r="Z6" s="103"/>
      <c r="AA6" s="104"/>
      <c r="AB6" s="102"/>
      <c r="AC6" s="103"/>
      <c r="AD6" s="103"/>
      <c r="AE6" s="100"/>
      <c r="AF6" s="185"/>
      <c r="AG6" s="185"/>
      <c r="AH6" s="186"/>
    </row>
    <row r="7" spans="1:34" ht="15">
      <c r="A7" s="899" t="s">
        <v>6</v>
      </c>
      <c r="B7" s="5"/>
      <c r="C7" s="1219" t="s">
        <v>71</v>
      </c>
      <c r="D7" s="1219"/>
      <c r="E7" s="1219"/>
      <c r="F7" s="1219"/>
      <c r="G7" s="1219"/>
      <c r="H7" s="1219"/>
      <c r="I7" s="1219"/>
      <c r="J7" s="1219"/>
      <c r="K7" s="1219"/>
      <c r="L7" s="1219"/>
      <c r="M7" s="1219"/>
      <c r="N7" s="1219"/>
      <c r="O7" s="1219"/>
      <c r="P7" s="1219"/>
      <c r="Q7" s="1219"/>
      <c r="R7" s="1219"/>
      <c r="S7" s="99" t="s">
        <v>7</v>
      </c>
      <c r="T7" s="3"/>
      <c r="U7" s="127"/>
      <c r="V7" s="675" t="s">
        <v>116</v>
      </c>
      <c r="W7" s="4"/>
      <c r="X7" s="105"/>
      <c r="Y7" s="903" t="s">
        <v>8</v>
      </c>
      <c r="Z7" s="750"/>
      <c r="AA7" s="102"/>
      <c r="AB7" s="185"/>
      <c r="AC7" s="185"/>
      <c r="AD7" s="185"/>
      <c r="AE7" s="185"/>
      <c r="AF7" s="185"/>
      <c r="AG7" s="185"/>
      <c r="AH7" s="186"/>
    </row>
    <row r="8" spans="1:34" ht="15">
      <c r="A8" s="899" t="s">
        <v>9</v>
      </c>
      <c r="B8" s="2"/>
      <c r="C8" s="1218" t="s">
        <v>72</v>
      </c>
      <c r="D8" s="1218"/>
      <c r="E8" s="1218"/>
      <c r="F8" s="1218"/>
      <c r="G8" s="1218"/>
      <c r="H8" s="1218"/>
      <c r="I8" s="1218"/>
      <c r="J8" s="1218"/>
      <c r="K8" s="1218"/>
      <c r="L8" s="1218"/>
      <c r="M8" s="1218"/>
      <c r="N8" s="1218"/>
      <c r="O8" s="1218"/>
      <c r="P8" s="1218"/>
      <c r="Q8" s="1218"/>
      <c r="R8" s="1218"/>
      <c r="S8" s="99" t="s">
        <v>10</v>
      </c>
      <c r="T8" s="3"/>
      <c r="U8" s="127"/>
      <c r="V8" s="1198" t="s">
        <v>117</v>
      </c>
      <c r="W8" s="1236"/>
      <c r="X8" s="106"/>
      <c r="Y8" s="107"/>
      <c r="Z8" s="904" t="s">
        <v>11</v>
      </c>
      <c r="AA8" s="751"/>
      <c r="AB8" s="108"/>
      <c r="AC8" s="108"/>
      <c r="AD8" s="108"/>
      <c r="AE8" s="108"/>
      <c r="AF8" s="108"/>
      <c r="AG8" s="1126"/>
      <c r="AH8" s="187"/>
    </row>
    <row r="9" spans="1:34" ht="15">
      <c r="A9" s="899" t="s">
        <v>12</v>
      </c>
      <c r="B9" s="2"/>
      <c r="C9" s="1234" t="s">
        <v>73</v>
      </c>
      <c r="D9" s="1234"/>
      <c r="E9" s="1234"/>
      <c r="F9" s="1234"/>
      <c r="G9" s="1234"/>
      <c r="H9" s="1234"/>
      <c r="I9" s="1234"/>
      <c r="J9" s="1234"/>
      <c r="K9" s="1234"/>
      <c r="L9" s="1234"/>
      <c r="M9" s="1234"/>
      <c r="N9" s="1234"/>
      <c r="O9" s="1234"/>
      <c r="P9" s="1234"/>
      <c r="Q9" s="1234"/>
      <c r="R9" s="1234"/>
      <c r="S9" s="7" t="s">
        <v>13</v>
      </c>
      <c r="T9" s="8"/>
      <c r="U9" s="127"/>
      <c r="V9" s="158" t="s">
        <v>118</v>
      </c>
      <c r="W9" s="4"/>
      <c r="X9" s="109"/>
      <c r="Y9" s="110"/>
      <c r="Z9" s="111"/>
      <c r="AA9" s="905" t="s">
        <v>14</v>
      </c>
      <c r="AB9" s="752"/>
      <c r="AC9" s="108"/>
      <c r="AD9" s="108"/>
      <c r="AE9" s="108"/>
      <c r="AF9" s="108"/>
      <c r="AG9" s="108"/>
      <c r="AH9" s="187"/>
    </row>
    <row r="10" spans="1:34" ht="15">
      <c r="A10" s="899" t="s">
        <v>15</v>
      </c>
      <c r="B10" s="2"/>
      <c r="C10" s="1235" t="s">
        <v>74</v>
      </c>
      <c r="D10" s="1235"/>
      <c r="E10" s="1235"/>
      <c r="F10" s="1235"/>
      <c r="G10" s="1235"/>
      <c r="H10" s="1235"/>
      <c r="I10" s="1235"/>
      <c r="J10" s="1235"/>
      <c r="K10" s="1235"/>
      <c r="L10" s="1235"/>
      <c r="M10" s="1235"/>
      <c r="N10" s="1235"/>
      <c r="O10" s="1235"/>
      <c r="P10" s="1235"/>
      <c r="Q10" s="1235"/>
      <c r="R10" s="1235"/>
      <c r="S10" s="7" t="s">
        <v>16</v>
      </c>
      <c r="T10" s="3"/>
      <c r="U10" s="127"/>
      <c r="V10" s="675" t="s">
        <v>119</v>
      </c>
      <c r="W10" s="4"/>
      <c r="X10" s="112"/>
      <c r="Y10" s="113"/>
      <c r="Z10" s="114"/>
      <c r="AA10" s="115"/>
      <c r="AB10" s="906" t="s">
        <v>17</v>
      </c>
      <c r="AC10" s="752"/>
      <c r="AD10" s="108"/>
      <c r="AE10" s="108"/>
      <c r="AF10" s="108"/>
      <c r="AG10" s="108"/>
      <c r="AH10" s="187"/>
    </row>
    <row r="11" spans="1:34" ht="15">
      <c r="A11" s="898" t="s">
        <v>18</v>
      </c>
      <c r="B11" s="9"/>
      <c r="C11" s="1202" t="s">
        <v>75</v>
      </c>
      <c r="D11" s="1202"/>
      <c r="E11" s="1202"/>
      <c r="F11" s="1202"/>
      <c r="G11" s="1202"/>
      <c r="H11" s="1202"/>
      <c r="I11" s="1202"/>
      <c r="J11" s="1202"/>
      <c r="K11" s="1202"/>
      <c r="L11" s="1202"/>
      <c r="M11" s="1202"/>
      <c r="N11" s="1202"/>
      <c r="O11" s="1202"/>
      <c r="P11" s="1202"/>
      <c r="Q11" s="1202"/>
      <c r="R11" s="1202"/>
      <c r="S11" s="99" t="s">
        <v>19</v>
      </c>
      <c r="T11" s="3"/>
      <c r="U11" s="127"/>
      <c r="V11" s="675" t="s">
        <v>120</v>
      </c>
      <c r="W11" s="10"/>
      <c r="X11" s="116"/>
      <c r="Y11" s="117"/>
      <c r="Z11" s="118"/>
      <c r="AA11" s="119"/>
      <c r="AB11" s="120"/>
      <c r="AC11" s="906" t="s">
        <v>20</v>
      </c>
      <c r="AD11" s="752"/>
      <c r="AE11" s="121"/>
      <c r="AF11" s="108"/>
      <c r="AG11" s="108"/>
      <c r="AH11" s="187"/>
    </row>
    <row r="12" spans="1:34" ht="15">
      <c r="A12" s="899" t="s">
        <v>18</v>
      </c>
      <c r="B12" s="9"/>
      <c r="C12" s="174" t="s">
        <v>77</v>
      </c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99" t="s">
        <v>19</v>
      </c>
      <c r="T12" s="3"/>
      <c r="U12" s="127"/>
      <c r="V12" s="675" t="s">
        <v>121</v>
      </c>
      <c r="W12" s="10"/>
      <c r="X12" s="116"/>
      <c r="Y12" s="117"/>
      <c r="Z12" s="118"/>
      <c r="AA12" s="119"/>
      <c r="AB12" s="120"/>
      <c r="AC12" s="120"/>
      <c r="AD12" s="906" t="s">
        <v>21</v>
      </c>
      <c r="AE12" s="753"/>
      <c r="AF12" s="108"/>
      <c r="AG12" s="108"/>
      <c r="AH12" s="187"/>
    </row>
    <row r="13" spans="1:34" ht="15">
      <c r="A13" s="899" t="s">
        <v>22</v>
      </c>
      <c r="B13" s="9"/>
      <c r="C13" s="1198" t="s">
        <v>76</v>
      </c>
      <c r="D13" s="1198"/>
      <c r="E13" s="1198"/>
      <c r="F13" s="1198"/>
      <c r="G13" s="1198"/>
      <c r="H13" s="1198"/>
      <c r="I13" s="1198"/>
      <c r="J13" s="1198"/>
      <c r="K13" s="1198"/>
      <c r="L13" s="1198"/>
      <c r="M13" s="1198"/>
      <c r="N13" s="1198"/>
      <c r="O13" s="1198"/>
      <c r="P13" s="1198"/>
      <c r="Q13" s="1198"/>
      <c r="R13" s="1198"/>
      <c r="S13" s="99" t="s">
        <v>23</v>
      </c>
      <c r="T13" s="11"/>
      <c r="U13" s="127"/>
      <c r="V13" s="159" t="s">
        <v>122</v>
      </c>
      <c r="W13" s="10"/>
      <c r="X13" s="116"/>
      <c r="Y13" s="117"/>
      <c r="Z13" s="118"/>
      <c r="AA13" s="119"/>
      <c r="AB13" s="120"/>
      <c r="AC13" s="122"/>
      <c r="AD13" s="119"/>
      <c r="AE13" s="905" t="s">
        <v>24</v>
      </c>
      <c r="AF13" s="754"/>
      <c r="AG13" s="108"/>
      <c r="AH13" s="187"/>
    </row>
    <row r="14" spans="1:34" ht="15">
      <c r="A14" s="899" t="s">
        <v>22</v>
      </c>
      <c r="B14" s="9"/>
      <c r="C14" s="173" t="s">
        <v>78</v>
      </c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5"/>
      <c r="S14" s="99" t="s">
        <v>23</v>
      </c>
      <c r="T14" s="3"/>
      <c r="U14" s="127"/>
      <c r="V14" s="675" t="s">
        <v>123</v>
      </c>
      <c r="W14" s="12"/>
      <c r="X14" s="116"/>
      <c r="Y14" s="117"/>
      <c r="Z14" s="118"/>
      <c r="AA14" s="123"/>
      <c r="AB14" s="124"/>
      <c r="AC14" s="125"/>
      <c r="AD14" s="125"/>
      <c r="AE14" s="126"/>
      <c r="AF14" s="903" t="s">
        <v>25</v>
      </c>
      <c r="AG14" s="755"/>
      <c r="AH14" s="188"/>
    </row>
    <row r="15" spans="1:34" ht="15">
      <c r="A15" s="898" t="s">
        <v>26</v>
      </c>
      <c r="B15" s="9"/>
      <c r="C15" s="1198" t="s">
        <v>79</v>
      </c>
      <c r="D15" s="1198"/>
      <c r="E15" s="1198"/>
      <c r="F15" s="1198"/>
      <c r="G15" s="1198"/>
      <c r="H15" s="1198"/>
      <c r="I15" s="1198"/>
      <c r="J15" s="1198"/>
      <c r="K15" s="1198"/>
      <c r="L15" s="1198"/>
      <c r="M15" s="1198"/>
      <c r="N15" s="1198"/>
      <c r="O15" s="1198"/>
      <c r="P15" s="1198"/>
      <c r="Q15" s="1198"/>
      <c r="R15" s="1198"/>
      <c r="S15" s="99" t="s">
        <v>27</v>
      </c>
      <c r="T15" s="3"/>
      <c r="U15" s="127"/>
      <c r="V15" s="675" t="s">
        <v>124</v>
      </c>
      <c r="W15" s="10"/>
      <c r="X15" s="116"/>
      <c r="Y15" s="127"/>
      <c r="Z15" s="128"/>
      <c r="AA15" s="119"/>
      <c r="AB15" s="124"/>
      <c r="AC15" s="129"/>
      <c r="AD15" s="129"/>
      <c r="AE15" s="125"/>
      <c r="AF15" s="130"/>
      <c r="AG15" s="903" t="s">
        <v>28</v>
      </c>
      <c r="AH15" s="756"/>
    </row>
    <row r="16" spans="1:34" ht="16.5" customHeight="1">
      <c r="A16" s="900" t="s">
        <v>26</v>
      </c>
      <c r="B16" s="9"/>
      <c r="C16" s="1198" t="s">
        <v>80</v>
      </c>
      <c r="D16" s="1198"/>
      <c r="E16" s="1198"/>
      <c r="F16" s="1198"/>
      <c r="G16" s="1198"/>
      <c r="H16" s="1198"/>
      <c r="I16" s="1198"/>
      <c r="J16" s="1198"/>
      <c r="K16" s="1198"/>
      <c r="L16" s="1198"/>
      <c r="M16" s="1198"/>
      <c r="N16" s="1198"/>
      <c r="O16" s="1198"/>
      <c r="P16" s="1198"/>
      <c r="Q16" s="1198"/>
      <c r="R16" s="1198"/>
      <c r="S16" s="99" t="s">
        <v>27</v>
      </c>
      <c r="T16" s="3"/>
      <c r="U16" s="127"/>
      <c r="V16" s="675" t="s">
        <v>125</v>
      </c>
      <c r="W16" s="10"/>
      <c r="X16" s="116"/>
      <c r="Y16" s="127"/>
      <c r="Z16" s="128"/>
      <c r="AA16" s="119"/>
      <c r="AB16" s="124"/>
      <c r="AC16" s="129"/>
      <c r="AD16" s="129"/>
      <c r="AE16" s="125"/>
      <c r="AF16" s="130"/>
      <c r="AG16" s="130"/>
      <c r="AH16" s="907" t="s">
        <v>29</v>
      </c>
    </row>
    <row r="17" spans="1:34" ht="15">
      <c r="A17" s="189"/>
      <c r="B17" s="13"/>
      <c r="C17" s="13"/>
      <c r="D17" s="13"/>
      <c r="E17" s="172" t="s">
        <v>69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4"/>
      <c r="X17" s="131"/>
      <c r="Y17" s="131"/>
      <c r="Z17" s="132"/>
      <c r="AA17" s="104"/>
      <c r="AB17" s="190"/>
      <c r="AC17" s="133" t="s">
        <v>126</v>
      </c>
      <c r="AD17" s="134"/>
      <c r="AE17" s="135"/>
      <c r="AF17" s="135"/>
      <c r="AG17" s="135"/>
      <c r="AH17" s="758"/>
    </row>
    <row r="18" spans="1:34" ht="15">
      <c r="A18" s="189"/>
      <c r="B18" s="13"/>
      <c r="C18" s="908" t="s">
        <v>30</v>
      </c>
      <c r="D18" s="2"/>
      <c r="E18" s="1211" t="s">
        <v>81</v>
      </c>
      <c r="F18" s="1212"/>
      <c r="G18" s="1212"/>
      <c r="H18" s="1212"/>
      <c r="I18" s="1212"/>
      <c r="J18" s="1212"/>
      <c r="K18" s="1212"/>
      <c r="L18" s="1212"/>
      <c r="M18" s="1212"/>
      <c r="N18" s="1212"/>
      <c r="O18" s="1212"/>
      <c r="P18" s="1212"/>
      <c r="Q18" s="1212"/>
      <c r="R18" s="1212"/>
      <c r="S18" s="1212"/>
      <c r="T18" s="1212"/>
      <c r="U18" s="1212"/>
      <c r="V18" s="1212"/>
      <c r="W18" s="1213"/>
      <c r="X18" s="17">
        <f>Лист1!A1*15875</f>
        <v>17462.5</v>
      </c>
      <c r="Y18" s="18">
        <f>Лист1!A1*16750</f>
        <v>18425</v>
      </c>
      <c r="Z18" s="18">
        <f>Лист1!A1*22000</f>
        <v>24200.000000000004</v>
      </c>
      <c r="AA18" s="18">
        <f>Лист1!A1*26400</f>
        <v>29040.000000000004</v>
      </c>
      <c r="AB18" s="18">
        <f>Лист1!A1*44400</f>
        <v>48840.00000000001</v>
      </c>
      <c r="AC18" s="18">
        <f>Лист1!A1*64000</f>
        <v>70400</v>
      </c>
      <c r="AD18" s="757"/>
      <c r="AE18" s="18">
        <f>Лист1!A1*97300</f>
        <v>107030.00000000001</v>
      </c>
      <c r="AF18" s="757"/>
      <c r="AG18" s="19">
        <f>Лист1!A1*153300</f>
        <v>168630</v>
      </c>
      <c r="AH18" s="759"/>
    </row>
    <row r="19" spans="1:34" ht="15">
      <c r="A19" s="189"/>
      <c r="B19" s="13"/>
      <c r="C19" s="909" t="s">
        <v>31</v>
      </c>
      <c r="D19" s="2"/>
      <c r="E19" s="1211" t="s">
        <v>143</v>
      </c>
      <c r="F19" s="1212"/>
      <c r="G19" s="1212"/>
      <c r="H19" s="1212"/>
      <c r="I19" s="1212"/>
      <c r="J19" s="1212"/>
      <c r="K19" s="1212"/>
      <c r="L19" s="1212"/>
      <c r="M19" s="1212"/>
      <c r="N19" s="1212"/>
      <c r="O19" s="1212"/>
      <c r="P19" s="1212"/>
      <c r="Q19" s="1212"/>
      <c r="R19" s="1212"/>
      <c r="S19" s="1212"/>
      <c r="T19" s="1212"/>
      <c r="U19" s="1212"/>
      <c r="V19" s="1212"/>
      <c r="W19" s="1213"/>
      <c r="X19" s="20"/>
      <c r="Y19" s="21"/>
      <c r="Z19" s="21"/>
      <c r="AA19" s="21"/>
      <c r="AB19" s="21"/>
      <c r="AC19" s="21"/>
      <c r="AD19" s="19">
        <f>Лист1!A1*78300</f>
        <v>86130</v>
      </c>
      <c r="AE19" s="23"/>
      <c r="AF19" s="19">
        <f>Лист1!A1*121900</f>
        <v>134090</v>
      </c>
      <c r="AG19" s="24"/>
      <c r="AH19" s="198">
        <f>Лист1!A1*212100</f>
        <v>233310.00000000003</v>
      </c>
    </row>
    <row r="20" spans="1:34" ht="15">
      <c r="A20" s="189"/>
      <c r="B20" s="13"/>
      <c r="C20" s="909" t="s">
        <v>625</v>
      </c>
      <c r="D20" s="2"/>
      <c r="E20" s="677" t="s">
        <v>626</v>
      </c>
      <c r="F20" s="677"/>
      <c r="G20" s="677"/>
      <c r="H20" s="677"/>
      <c r="I20" s="677"/>
      <c r="J20" s="677"/>
      <c r="K20" s="677"/>
      <c r="L20" s="677"/>
      <c r="M20" s="677"/>
      <c r="N20" s="677"/>
      <c r="O20" s="677"/>
      <c r="P20" s="677"/>
      <c r="Q20" s="677"/>
      <c r="R20" s="677"/>
      <c r="S20" s="677"/>
      <c r="T20" s="677"/>
      <c r="U20" s="677"/>
      <c r="V20" s="677"/>
      <c r="W20" s="678"/>
      <c r="X20" s="21"/>
      <c r="Y20" s="21"/>
      <c r="Z20" s="651"/>
      <c r="AA20" s="652">
        <f>Лист1!A1*37440</f>
        <v>41184</v>
      </c>
      <c r="AB20" s="21"/>
      <c r="AC20" s="21"/>
      <c r="AD20" s="653"/>
      <c r="AE20" s="163"/>
      <c r="AF20" s="21"/>
      <c r="AG20" s="21"/>
      <c r="AH20" s="202"/>
    </row>
    <row r="21" spans="1:34" ht="15">
      <c r="A21" s="189"/>
      <c r="B21" s="13"/>
      <c r="C21" s="910" t="s">
        <v>32</v>
      </c>
      <c r="D21" s="2"/>
      <c r="E21" s="1211" t="s">
        <v>144</v>
      </c>
      <c r="F21" s="1212"/>
      <c r="G21" s="1212"/>
      <c r="H21" s="1212"/>
      <c r="I21" s="1212"/>
      <c r="J21" s="1212"/>
      <c r="K21" s="1212"/>
      <c r="L21" s="1212"/>
      <c r="M21" s="1212"/>
      <c r="N21" s="1212"/>
      <c r="O21" s="1212"/>
      <c r="P21" s="1212"/>
      <c r="Q21" s="1212"/>
      <c r="R21" s="1212"/>
      <c r="S21" s="1212"/>
      <c r="T21" s="1212"/>
      <c r="U21" s="1212"/>
      <c r="V21" s="1212"/>
      <c r="W21" s="1213"/>
      <c r="X21" s="25">
        <f>Лист1!A1*19500</f>
        <v>21450</v>
      </c>
      <c r="Y21" s="26">
        <f>Лист1!A1*21000</f>
        <v>23100.000000000004</v>
      </c>
      <c r="Z21" s="26">
        <f>Лист1!A1*39150</f>
        <v>43065</v>
      </c>
      <c r="AA21" s="26">
        <f>Лист1!A1*49000</f>
        <v>53900.00000000001</v>
      </c>
      <c r="AB21" s="19">
        <f>Лист1!A1*79800</f>
        <v>87780</v>
      </c>
      <c r="AC21" s="27">
        <f>Лист1!A1*119000</f>
        <v>130900.00000000001</v>
      </c>
      <c r="AD21" s="31"/>
      <c r="AE21" s="27">
        <f>Лист1!A1*206000</f>
        <v>226600.00000000003</v>
      </c>
      <c r="AF21" s="654"/>
      <c r="AG21" s="28"/>
      <c r="AH21" s="655"/>
    </row>
    <row r="22" spans="1:34" ht="15">
      <c r="A22" s="189"/>
      <c r="B22" s="13"/>
      <c r="C22" s="909" t="s">
        <v>627</v>
      </c>
      <c r="D22" s="2"/>
      <c r="E22" s="677" t="s">
        <v>713</v>
      </c>
      <c r="F22" s="677"/>
      <c r="G22" s="677"/>
      <c r="H22" s="677"/>
      <c r="I22" s="677"/>
      <c r="J22" s="677"/>
      <c r="K22" s="677"/>
      <c r="L22" s="677"/>
      <c r="M22" s="677"/>
      <c r="N22" s="677"/>
      <c r="O22" s="677"/>
      <c r="P22" s="677"/>
      <c r="Q22" s="677"/>
      <c r="R22" s="677"/>
      <c r="S22" s="677"/>
      <c r="T22" s="677"/>
      <c r="U22" s="677"/>
      <c r="V22" s="677"/>
      <c r="W22" s="678"/>
      <c r="X22" s="25">
        <f>Лист1!A1*21900</f>
        <v>24090.000000000004</v>
      </c>
      <c r="Y22" s="26">
        <f>Лист1!A1*23700</f>
        <v>26070.000000000004</v>
      </c>
      <c r="Z22" s="26">
        <f>Лист1!A1*43700</f>
        <v>48070.00000000001</v>
      </c>
      <c r="AA22" s="26">
        <f>Лист1!A1*52700</f>
        <v>57970.00000000001</v>
      </c>
      <c r="AB22" s="18">
        <f>Лист1!A1*84700</f>
        <v>93170.00000000001</v>
      </c>
      <c r="AC22" s="688">
        <f>Лист1!A1*122000</f>
        <v>134200</v>
      </c>
      <c r="AD22" s="656"/>
      <c r="AE22" s="656"/>
      <c r="AF22" s="656"/>
      <c r="AG22" s="28"/>
      <c r="AH22" s="655"/>
    </row>
    <row r="23" spans="1:34" ht="15">
      <c r="A23" s="189"/>
      <c r="B23" s="13"/>
      <c r="C23" s="909" t="s">
        <v>33</v>
      </c>
      <c r="D23" s="2"/>
      <c r="E23" s="1212" t="s">
        <v>628</v>
      </c>
      <c r="F23" s="1212"/>
      <c r="G23" s="1212"/>
      <c r="H23" s="1212"/>
      <c r="I23" s="1212"/>
      <c r="J23" s="1212"/>
      <c r="K23" s="1212"/>
      <c r="L23" s="1212"/>
      <c r="M23" s="1212"/>
      <c r="N23" s="1212"/>
      <c r="O23" s="1212"/>
      <c r="P23" s="1212"/>
      <c r="Q23" s="1212"/>
      <c r="R23" s="1212"/>
      <c r="S23" s="1212"/>
      <c r="T23" s="1212"/>
      <c r="U23" s="1212"/>
      <c r="V23" s="1212"/>
      <c r="W23" s="1213"/>
      <c r="X23" s="17">
        <f>Лист1!A1*43000</f>
        <v>47300.00000000001</v>
      </c>
      <c r="Y23" s="18">
        <f>Лист1!A1*45700</f>
        <v>50270.00000000001</v>
      </c>
      <c r="Z23" s="18">
        <f>Лист1!A1*60800</f>
        <v>66880</v>
      </c>
      <c r="AA23" s="18">
        <f>Лист1!A1*119000</f>
        <v>130900.00000000001</v>
      </c>
      <c r="AB23" s="18">
        <f>Лист1!A1*154200</f>
        <v>169620</v>
      </c>
      <c r="AC23" s="652">
        <f>Лист1!A1*180200</f>
        <v>198220.00000000003</v>
      </c>
      <c r="AD23" s="21"/>
      <c r="AE23" s="23"/>
      <c r="AF23" s="24"/>
      <c r="AG23" s="24"/>
      <c r="AH23" s="191"/>
    </row>
    <row r="24" spans="1:34" ht="13.5" customHeight="1">
      <c r="A24" s="192"/>
      <c r="B24" s="13"/>
      <c r="C24" s="909" t="s">
        <v>34</v>
      </c>
      <c r="D24" s="2"/>
      <c r="E24" s="1211" t="s">
        <v>82</v>
      </c>
      <c r="F24" s="1212"/>
      <c r="G24" s="1212"/>
      <c r="H24" s="1212"/>
      <c r="I24" s="1212"/>
      <c r="J24" s="1212"/>
      <c r="K24" s="1212"/>
      <c r="L24" s="1212"/>
      <c r="M24" s="1212"/>
      <c r="N24" s="1212"/>
      <c r="O24" s="1212"/>
      <c r="P24" s="1212"/>
      <c r="Q24" s="1212"/>
      <c r="R24" s="1212"/>
      <c r="S24" s="1212"/>
      <c r="T24" s="1212"/>
      <c r="U24" s="1212"/>
      <c r="V24" s="1212"/>
      <c r="W24" s="1213"/>
      <c r="X24" s="152"/>
      <c r="Y24" s="29"/>
      <c r="Z24" s="29"/>
      <c r="AA24" s="29"/>
      <c r="AB24" s="29"/>
      <c r="AC24" s="30" t="s">
        <v>35</v>
      </c>
      <c r="AD24" s="31"/>
      <c r="AE24" s="27">
        <f>Лист1!A1*141000</f>
        <v>155100</v>
      </c>
      <c r="AF24" s="32"/>
      <c r="AG24" s="19">
        <f>Лист1!A1*215000</f>
        <v>236500.00000000003</v>
      </c>
      <c r="AH24" s="193"/>
    </row>
    <row r="25" spans="1:34" ht="3" customHeight="1">
      <c r="A25" s="189"/>
      <c r="B25" s="13"/>
      <c r="C25" s="194"/>
      <c r="D25" s="33"/>
      <c r="E25" s="195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34"/>
      <c r="X25" s="137"/>
      <c r="Y25" s="138"/>
      <c r="Z25" s="138"/>
      <c r="AA25" s="138"/>
      <c r="AB25" s="138"/>
      <c r="AC25" s="138"/>
      <c r="AD25" s="138"/>
      <c r="AE25" s="138"/>
      <c r="AF25" s="138"/>
      <c r="AG25" s="138"/>
      <c r="AH25" s="196"/>
    </row>
    <row r="26" spans="1:34" ht="12.75" customHeight="1">
      <c r="A26" s="189"/>
      <c r="B26" s="13"/>
      <c r="C26" s="194"/>
      <c r="D26" s="13"/>
      <c r="E26" s="13"/>
      <c r="F26" s="13"/>
      <c r="G26" s="160" t="s">
        <v>83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35"/>
      <c r="X26" s="139"/>
      <c r="Y26" s="139"/>
      <c r="Z26" s="176"/>
      <c r="AA26" s="169"/>
      <c r="AB26" s="171" t="s">
        <v>158</v>
      </c>
      <c r="AC26" s="140"/>
      <c r="AD26" s="140"/>
      <c r="AE26" s="170"/>
      <c r="AF26" s="141"/>
      <c r="AG26" s="141"/>
      <c r="AH26" s="197"/>
    </row>
    <row r="27" spans="1:34" ht="12.75" customHeight="1">
      <c r="A27" s="189"/>
      <c r="B27" s="13"/>
      <c r="C27" s="194"/>
      <c r="D27" s="13"/>
      <c r="E27" s="908">
        <v>0</v>
      </c>
      <c r="F27" s="2"/>
      <c r="G27" s="1187" t="s">
        <v>829</v>
      </c>
      <c r="H27" s="1187"/>
      <c r="I27" s="1187"/>
      <c r="J27" s="1187"/>
      <c r="K27" s="1187"/>
      <c r="L27" s="1187"/>
      <c r="M27" s="1187"/>
      <c r="N27" s="1187"/>
      <c r="O27" s="1187"/>
      <c r="P27" s="1187"/>
      <c r="Q27" s="1187"/>
      <c r="R27" s="1187"/>
      <c r="S27" s="1187"/>
      <c r="T27" s="1187"/>
      <c r="U27" s="1187"/>
      <c r="V27" s="1187"/>
      <c r="W27" s="1188"/>
      <c r="X27" s="1161" t="s">
        <v>36</v>
      </c>
      <c r="Y27" s="1162"/>
      <c r="Z27" s="1162"/>
      <c r="AA27" s="1162"/>
      <c r="AB27" s="1162"/>
      <c r="AC27" s="1162"/>
      <c r="AD27" s="1162"/>
      <c r="AE27" s="1162"/>
      <c r="AF27" s="1162"/>
      <c r="AG27" s="1162"/>
      <c r="AH27" s="1163"/>
    </row>
    <row r="28" spans="1:34" ht="16.5" customHeight="1">
      <c r="A28" s="189"/>
      <c r="B28" s="13"/>
      <c r="C28" s="194"/>
      <c r="D28" s="13"/>
      <c r="E28" s="908">
        <v>1</v>
      </c>
      <c r="F28" s="2"/>
      <c r="G28" s="1187" t="s">
        <v>830</v>
      </c>
      <c r="H28" s="1187"/>
      <c r="I28" s="1187"/>
      <c r="J28" s="1187"/>
      <c r="K28" s="1187"/>
      <c r="L28" s="1187"/>
      <c r="M28" s="1187"/>
      <c r="N28" s="1187"/>
      <c r="O28" s="1187"/>
      <c r="P28" s="1187"/>
      <c r="Q28" s="1187"/>
      <c r="R28" s="1187"/>
      <c r="S28" s="1187"/>
      <c r="T28" s="1187"/>
      <c r="U28" s="1187"/>
      <c r="V28" s="1187"/>
      <c r="W28" s="1188"/>
      <c r="X28" s="1164"/>
      <c r="Y28" s="1165"/>
      <c r="Z28" s="18">
        <f>Z31</f>
        <v>5940.000000000001</v>
      </c>
      <c r="AA28" s="18">
        <f aca="true" t="shared" si="0" ref="AA28:AH28">AA31</f>
        <v>6930.000000000001</v>
      </c>
      <c r="AB28" s="18">
        <f t="shared" si="0"/>
        <v>7370.000000000001</v>
      </c>
      <c r="AC28" s="19">
        <f t="shared" si="0"/>
        <v>9570</v>
      </c>
      <c r="AD28" s="1127"/>
      <c r="AE28" s="18">
        <f t="shared" si="0"/>
        <v>13420.000000000002</v>
      </c>
      <c r="AF28" s="18">
        <f t="shared" si="0"/>
        <v>14740.000000000002</v>
      </c>
      <c r="AG28" s="18">
        <f t="shared" si="0"/>
        <v>15290.000000000002</v>
      </c>
      <c r="AH28" s="1125">
        <f t="shared" si="0"/>
        <v>16170.000000000002</v>
      </c>
    </row>
    <row r="29" spans="1:34" ht="16.5" customHeight="1">
      <c r="A29" s="189"/>
      <c r="B29" s="13"/>
      <c r="C29" s="194"/>
      <c r="D29" s="13"/>
      <c r="E29" s="908">
        <v>4</v>
      </c>
      <c r="F29" s="2"/>
      <c r="G29" s="1186" t="s">
        <v>84</v>
      </c>
      <c r="H29" s="1187"/>
      <c r="I29" s="1187"/>
      <c r="J29" s="1187"/>
      <c r="K29" s="1187"/>
      <c r="L29" s="1187"/>
      <c r="M29" s="1187"/>
      <c r="N29" s="1187"/>
      <c r="O29" s="1187"/>
      <c r="P29" s="1187"/>
      <c r="Q29" s="1187"/>
      <c r="R29" s="1187"/>
      <c r="S29" s="1187"/>
      <c r="T29" s="1187"/>
      <c r="U29" s="1187"/>
      <c r="V29" s="1187"/>
      <c r="W29" s="1188"/>
      <c r="X29" s="1173" t="s">
        <v>36</v>
      </c>
      <c r="Y29" s="1174"/>
      <c r="Z29" s="1174"/>
      <c r="AA29" s="1174"/>
      <c r="AB29" s="1174"/>
      <c r="AC29" s="1174"/>
      <c r="AD29" s="1174"/>
      <c r="AE29" s="1174"/>
      <c r="AF29" s="1174"/>
      <c r="AG29" s="1174"/>
      <c r="AH29" s="1175"/>
    </row>
    <row r="30" spans="1:34" ht="15.75" customHeight="1">
      <c r="A30" s="189"/>
      <c r="B30" s="13"/>
      <c r="C30" s="194"/>
      <c r="D30" s="13"/>
      <c r="E30" s="911">
        <v>5</v>
      </c>
      <c r="F30" s="9"/>
      <c r="G30" s="1176" t="s">
        <v>145</v>
      </c>
      <c r="H30" s="1177"/>
      <c r="I30" s="1177"/>
      <c r="J30" s="1177"/>
      <c r="K30" s="1177"/>
      <c r="L30" s="1177"/>
      <c r="M30" s="1177"/>
      <c r="N30" s="1177"/>
      <c r="O30" s="1177"/>
      <c r="P30" s="1177"/>
      <c r="Q30" s="1177"/>
      <c r="R30" s="1177"/>
      <c r="S30" s="1177"/>
      <c r="T30" s="1177"/>
      <c r="U30" s="1177"/>
      <c r="V30" s="1177"/>
      <c r="W30" s="1178"/>
      <c r="X30" s="1179" t="s">
        <v>36</v>
      </c>
      <c r="Y30" s="1180"/>
      <c r="Z30" s="1180"/>
      <c r="AA30" s="1180"/>
      <c r="AB30" s="1180"/>
      <c r="AC30" s="1180"/>
      <c r="AD30" s="1180"/>
      <c r="AE30" s="1180"/>
      <c r="AF30" s="1180"/>
      <c r="AG30" s="1180"/>
      <c r="AH30" s="1181"/>
    </row>
    <row r="31" spans="1:34" ht="15">
      <c r="A31" s="189"/>
      <c r="B31" s="13"/>
      <c r="C31" s="194"/>
      <c r="D31" s="13"/>
      <c r="E31" s="910">
        <v>6</v>
      </c>
      <c r="F31" s="9"/>
      <c r="G31" s="1186" t="s">
        <v>156</v>
      </c>
      <c r="H31" s="1187"/>
      <c r="I31" s="1187"/>
      <c r="J31" s="1187"/>
      <c r="K31" s="1187"/>
      <c r="L31" s="1187"/>
      <c r="M31" s="1187"/>
      <c r="N31" s="1187"/>
      <c r="O31" s="1187"/>
      <c r="P31" s="1187"/>
      <c r="Q31" s="1187"/>
      <c r="R31" s="1187"/>
      <c r="S31" s="1187"/>
      <c r="T31" s="1187"/>
      <c r="U31" s="1187"/>
      <c r="V31" s="1187"/>
      <c r="W31" s="1188"/>
      <c r="X31" s="1216"/>
      <c r="Y31" s="1217"/>
      <c r="Z31" s="18">
        <f>Лист1!A1*5400</f>
        <v>5940.000000000001</v>
      </c>
      <c r="AA31" s="18">
        <f>Лист1!A1*6300</f>
        <v>6930.000000000001</v>
      </c>
      <c r="AB31" s="18">
        <f>Лист1!A1*6700</f>
        <v>7370.000000000001</v>
      </c>
      <c r="AC31" s="19">
        <f>Лист1!A1*8700</f>
        <v>9570</v>
      </c>
      <c r="AD31" s="36">
        <f>Лист1!A1*10000</f>
        <v>11000</v>
      </c>
      <c r="AE31" s="19">
        <f>Лист1!A1*12200</f>
        <v>13420.000000000002</v>
      </c>
      <c r="AF31" s="19">
        <f>Лист1!A1*13400</f>
        <v>14740.000000000002</v>
      </c>
      <c r="AG31" s="37">
        <f>Лист1!A1*13900</f>
        <v>15290.000000000002</v>
      </c>
      <c r="AH31" s="198">
        <f>Лист1!A1*14700</f>
        <v>16170.000000000002</v>
      </c>
    </row>
    <row r="32" spans="1:34" ht="15">
      <c r="A32" s="189"/>
      <c r="B32" s="13"/>
      <c r="C32" s="194"/>
      <c r="D32" s="13"/>
      <c r="E32" s="910">
        <v>7</v>
      </c>
      <c r="F32" s="2"/>
      <c r="G32" s="1186" t="s">
        <v>157</v>
      </c>
      <c r="H32" s="1186"/>
      <c r="I32" s="1186"/>
      <c r="J32" s="1186"/>
      <c r="K32" s="1186"/>
      <c r="L32" s="1186"/>
      <c r="M32" s="1186"/>
      <c r="N32" s="1186"/>
      <c r="O32" s="1186"/>
      <c r="P32" s="1186"/>
      <c r="Q32" s="1186"/>
      <c r="R32" s="1186"/>
      <c r="S32" s="1186"/>
      <c r="T32" s="1186"/>
      <c r="U32" s="1186"/>
      <c r="V32" s="1186"/>
      <c r="W32" s="1207"/>
      <c r="X32" s="38"/>
      <c r="Y32" s="39">
        <f>Лист1!A1*8300</f>
        <v>9130</v>
      </c>
      <c r="Z32" s="18">
        <f>Лист1!A1*10500</f>
        <v>11550.000000000002</v>
      </c>
      <c r="AA32" s="18">
        <f>Лист1!A1*10800</f>
        <v>11880.000000000002</v>
      </c>
      <c r="AB32" s="18">
        <f>Лист1!A1*11050</f>
        <v>12155.000000000002</v>
      </c>
      <c r="AC32" s="36">
        <f>Лист1!A1*13500</f>
        <v>14850.000000000002</v>
      </c>
      <c r="AD32" s="40"/>
      <c r="AE32" s="687">
        <f>Лист1!A1*16500</f>
        <v>18150</v>
      </c>
      <c r="AF32" s="41"/>
      <c r="AG32" s="42"/>
      <c r="AH32" s="199"/>
    </row>
    <row r="33" spans="1:34" ht="15">
      <c r="A33" s="189"/>
      <c r="B33" s="13"/>
      <c r="C33" s="194"/>
      <c r="D33" s="13"/>
      <c r="E33" s="194"/>
      <c r="F33" s="13"/>
      <c r="G33" s="13"/>
      <c r="H33" s="13"/>
      <c r="I33" s="179" t="s">
        <v>85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43"/>
      <c r="X33" s="153"/>
      <c r="Y33" s="44"/>
      <c r="Z33" s="44"/>
      <c r="AA33" s="44"/>
      <c r="AB33" s="44"/>
      <c r="AC33" s="45"/>
      <c r="AD33" s="45"/>
      <c r="AE33" s="45"/>
      <c r="AF33" s="45"/>
      <c r="AG33" s="45"/>
      <c r="AH33" s="200"/>
    </row>
    <row r="34" spans="1:34" ht="15" customHeight="1">
      <c r="A34" s="189"/>
      <c r="B34" s="13"/>
      <c r="C34" s="13"/>
      <c r="D34" s="13"/>
      <c r="E34" s="194"/>
      <c r="F34" s="13"/>
      <c r="G34" s="908">
        <v>1</v>
      </c>
      <c r="H34" s="2"/>
      <c r="I34" s="1202" t="s">
        <v>160</v>
      </c>
      <c r="J34" s="1202"/>
      <c r="K34" s="1202"/>
      <c r="L34" s="1202"/>
      <c r="M34" s="1202"/>
      <c r="N34" s="1202"/>
      <c r="O34" s="1202"/>
      <c r="P34" s="1202"/>
      <c r="Q34" s="1202"/>
      <c r="R34" s="1202"/>
      <c r="S34" s="1202"/>
      <c r="T34" s="1202"/>
      <c r="U34" s="1202"/>
      <c r="V34" s="1202"/>
      <c r="W34" s="1203"/>
      <c r="X34" s="1199" t="s">
        <v>36</v>
      </c>
      <c r="Y34" s="1200"/>
      <c r="Z34" s="1200"/>
      <c r="AA34" s="1200"/>
      <c r="AB34" s="1200"/>
      <c r="AC34" s="1200"/>
      <c r="AD34" s="1200"/>
      <c r="AE34" s="1200"/>
      <c r="AF34" s="1200"/>
      <c r="AG34" s="1200"/>
      <c r="AH34" s="1201"/>
    </row>
    <row r="35" spans="1:34" ht="12.75" customHeight="1">
      <c r="A35" s="189"/>
      <c r="B35" s="13"/>
      <c r="C35" s="13"/>
      <c r="D35" s="13"/>
      <c r="E35" s="194"/>
      <c r="F35" s="13"/>
      <c r="G35" s="910">
        <v>4</v>
      </c>
      <c r="H35" s="9"/>
      <c r="I35" s="1204" t="s">
        <v>86</v>
      </c>
      <c r="J35" s="1205"/>
      <c r="K35" s="1205"/>
      <c r="L35" s="1205"/>
      <c r="M35" s="1205"/>
      <c r="N35" s="1205"/>
      <c r="O35" s="1205"/>
      <c r="P35" s="1205"/>
      <c r="Q35" s="1205"/>
      <c r="R35" s="1205"/>
      <c r="S35" s="1205"/>
      <c r="T35" s="1205"/>
      <c r="U35" s="1205"/>
      <c r="V35" s="1205"/>
      <c r="W35" s="1206"/>
      <c r="X35" s="1199" t="s">
        <v>36</v>
      </c>
      <c r="Y35" s="1200"/>
      <c r="Z35" s="1200"/>
      <c r="AA35" s="1200"/>
      <c r="AB35" s="1200"/>
      <c r="AC35" s="1200"/>
      <c r="AD35" s="1200"/>
      <c r="AE35" s="1200"/>
      <c r="AF35" s="1200"/>
      <c r="AG35" s="1200"/>
      <c r="AH35" s="1201"/>
    </row>
    <row r="36" spans="1:34" ht="10.5" customHeight="1">
      <c r="A36" s="189"/>
      <c r="B36" s="13"/>
      <c r="C36" s="13"/>
      <c r="D36" s="13"/>
      <c r="E36" s="194"/>
      <c r="F36" s="13"/>
      <c r="G36" s="181"/>
      <c r="H36" s="181"/>
      <c r="I36" s="1214" t="s">
        <v>142</v>
      </c>
      <c r="J36" s="1215"/>
      <c r="K36" s="1215"/>
      <c r="L36" s="1215"/>
      <c r="M36" s="1215"/>
      <c r="N36" s="1215"/>
      <c r="O36" s="1215"/>
      <c r="P36" s="1215"/>
      <c r="Q36" s="1215"/>
      <c r="R36" s="1215"/>
      <c r="S36" s="181"/>
      <c r="T36" s="181"/>
      <c r="U36" s="181"/>
      <c r="V36" s="181"/>
      <c r="W36" s="46"/>
      <c r="X36" s="47"/>
      <c r="Y36" s="46"/>
      <c r="Z36" s="46"/>
      <c r="AA36" s="46"/>
      <c r="AB36" s="46"/>
      <c r="AC36" s="46"/>
      <c r="AD36" s="46"/>
      <c r="AE36" s="46"/>
      <c r="AF36" s="46"/>
      <c r="AG36" s="46"/>
      <c r="AH36" s="201"/>
    </row>
    <row r="37" spans="1:34" ht="15">
      <c r="A37" s="189"/>
      <c r="B37" s="13"/>
      <c r="C37" s="194"/>
      <c r="D37" s="13"/>
      <c r="E37" s="194"/>
      <c r="F37" s="13"/>
      <c r="G37" s="194"/>
      <c r="H37" s="13"/>
      <c r="I37" s="13"/>
      <c r="J37" s="13"/>
      <c r="K37" s="179" t="s">
        <v>87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4"/>
      <c r="X37" s="154"/>
      <c r="Y37" s="44"/>
      <c r="Z37" s="44"/>
      <c r="AA37" s="44"/>
      <c r="AB37" s="44"/>
      <c r="AC37" s="44"/>
      <c r="AD37" s="44"/>
      <c r="AE37" s="44"/>
      <c r="AF37" s="44"/>
      <c r="AG37" s="44"/>
      <c r="AH37" s="200"/>
    </row>
    <row r="38" spans="1:34" ht="15">
      <c r="A38" s="189"/>
      <c r="B38" s="13"/>
      <c r="C38" s="194"/>
      <c r="D38" s="13"/>
      <c r="E38" s="194"/>
      <c r="F38" s="13"/>
      <c r="G38" s="194"/>
      <c r="H38" s="13"/>
      <c r="I38" s="911">
        <v>1</v>
      </c>
      <c r="J38" s="5"/>
      <c r="K38" s="1184" t="s">
        <v>88</v>
      </c>
      <c r="L38" s="1184"/>
      <c r="M38" s="1184"/>
      <c r="N38" s="1184"/>
      <c r="O38" s="1184"/>
      <c r="P38" s="1184"/>
      <c r="Q38" s="1184"/>
      <c r="R38" s="1184"/>
      <c r="S38" s="1184"/>
      <c r="T38" s="1184"/>
      <c r="U38" s="1184"/>
      <c r="V38" s="1184"/>
      <c r="W38" s="1185"/>
      <c r="X38" s="1199" t="s">
        <v>36</v>
      </c>
      <c r="Y38" s="1200"/>
      <c r="Z38" s="1200"/>
      <c r="AA38" s="1200"/>
      <c r="AB38" s="1200"/>
      <c r="AC38" s="1200"/>
      <c r="AD38" s="1200"/>
      <c r="AE38" s="1200"/>
      <c r="AF38" s="1200"/>
      <c r="AG38" s="1200"/>
      <c r="AH38" s="1201"/>
    </row>
    <row r="39" spans="1:34" ht="15">
      <c r="A39" s="189"/>
      <c r="B39" s="13"/>
      <c r="C39" s="194"/>
      <c r="D39" s="13"/>
      <c r="E39" s="194"/>
      <c r="F39" s="13"/>
      <c r="G39" s="194"/>
      <c r="H39" s="13"/>
      <c r="I39" s="910">
        <v>2</v>
      </c>
      <c r="J39" s="2"/>
      <c r="K39" s="1196" t="s">
        <v>89</v>
      </c>
      <c r="L39" s="1196"/>
      <c r="M39" s="1196"/>
      <c r="N39" s="1196"/>
      <c r="O39" s="1196"/>
      <c r="P39" s="1196"/>
      <c r="Q39" s="1196"/>
      <c r="R39" s="1196"/>
      <c r="S39" s="1196"/>
      <c r="T39" s="1196"/>
      <c r="U39" s="1196"/>
      <c r="V39" s="1196"/>
      <c r="W39" s="1197"/>
      <c r="X39" s="1199" t="s">
        <v>36</v>
      </c>
      <c r="Y39" s="1200"/>
      <c r="Z39" s="1200"/>
      <c r="AA39" s="1200"/>
      <c r="AB39" s="1200"/>
      <c r="AC39" s="1200"/>
      <c r="AD39" s="1200"/>
      <c r="AE39" s="1200"/>
      <c r="AF39" s="1200"/>
      <c r="AG39" s="1200"/>
      <c r="AH39" s="1201"/>
    </row>
    <row r="40" spans="1:34" ht="15">
      <c r="A40" s="189"/>
      <c r="B40" s="13"/>
      <c r="C40" s="194"/>
      <c r="D40" s="13"/>
      <c r="E40" s="194"/>
      <c r="F40" s="13"/>
      <c r="G40" s="194"/>
      <c r="H40" s="13"/>
      <c r="I40" s="910">
        <v>3</v>
      </c>
      <c r="J40" s="2"/>
      <c r="K40" s="1186" t="s">
        <v>90</v>
      </c>
      <c r="L40" s="1187"/>
      <c r="M40" s="1187"/>
      <c r="N40" s="1187"/>
      <c r="O40" s="1187"/>
      <c r="P40" s="1187"/>
      <c r="Q40" s="1187"/>
      <c r="R40" s="1187"/>
      <c r="S40" s="1187"/>
      <c r="T40" s="1187"/>
      <c r="U40" s="1187"/>
      <c r="V40" s="1187"/>
      <c r="W40" s="1188"/>
      <c r="X40" s="48">
        <f>Лист1!A1*1300</f>
        <v>1430.0000000000002</v>
      </c>
      <c r="Y40" s="49">
        <f>Лист1!A1*1300</f>
        <v>1430.0000000000002</v>
      </c>
      <c r="Z40" s="49">
        <f>Лист1!A1*1430</f>
        <v>1573.0000000000002</v>
      </c>
      <c r="AA40" s="49">
        <f>Лист1!A1*1690</f>
        <v>1859.0000000000002</v>
      </c>
      <c r="AB40" s="49">
        <f>Лист1!A1*1950</f>
        <v>2145</v>
      </c>
      <c r="AC40" s="49">
        <f>Лист1!A1*2080</f>
        <v>2288</v>
      </c>
      <c r="AD40" s="49">
        <f>Лист1!A1*2080</f>
        <v>2288</v>
      </c>
      <c r="AE40" s="652">
        <f>Лист1!A1*2600</f>
        <v>2860.0000000000005</v>
      </c>
      <c r="AF40" s="689">
        <f>Лист1!A1*2600</f>
        <v>2860.0000000000005</v>
      </c>
      <c r="AG40" s="689">
        <f>Лист1!A1*3000</f>
        <v>3300.0000000000005</v>
      </c>
      <c r="AH40" s="658">
        <f>Лист1!A1*3000</f>
        <v>3300.0000000000005</v>
      </c>
    </row>
    <row r="41" spans="1:34" ht="15">
      <c r="A41" s="189"/>
      <c r="B41" s="13"/>
      <c r="C41" s="194"/>
      <c r="D41" s="13"/>
      <c r="E41" s="194"/>
      <c r="F41" s="13"/>
      <c r="G41" s="194"/>
      <c r="H41" s="13"/>
      <c r="I41" s="911">
        <v>4</v>
      </c>
      <c r="J41" s="9"/>
      <c r="K41" s="1186" t="s">
        <v>93</v>
      </c>
      <c r="L41" s="1187"/>
      <c r="M41" s="1187"/>
      <c r="N41" s="1187"/>
      <c r="O41" s="1187"/>
      <c r="P41" s="1187"/>
      <c r="Q41" s="1187"/>
      <c r="R41" s="1187"/>
      <c r="S41" s="1187"/>
      <c r="T41" s="1187"/>
      <c r="U41" s="1187"/>
      <c r="V41" s="1187"/>
      <c r="W41" s="1188"/>
      <c r="X41" s="1199" t="s">
        <v>36</v>
      </c>
      <c r="Y41" s="1200"/>
      <c r="Z41" s="1200"/>
      <c r="AA41" s="1200"/>
      <c r="AB41" s="1200"/>
      <c r="AC41" s="1200"/>
      <c r="AD41" s="1200"/>
      <c r="AE41" s="1200"/>
      <c r="AF41" s="1200"/>
      <c r="AG41" s="1200"/>
      <c r="AH41" s="1201"/>
    </row>
    <row r="42" spans="1:34" ht="15">
      <c r="A42" s="189"/>
      <c r="B42" s="13"/>
      <c r="C42" s="194"/>
      <c r="D42" s="13"/>
      <c r="E42" s="194"/>
      <c r="F42" s="13"/>
      <c r="G42" s="194"/>
      <c r="H42" s="13"/>
      <c r="I42" s="194"/>
      <c r="J42" s="13"/>
      <c r="K42" s="13"/>
      <c r="L42" s="13"/>
      <c r="M42" s="179" t="s">
        <v>91</v>
      </c>
      <c r="N42" s="13"/>
      <c r="O42" s="13"/>
      <c r="P42" s="13"/>
      <c r="Q42" s="13"/>
      <c r="R42" s="13"/>
      <c r="S42" s="13"/>
      <c r="T42" s="13"/>
      <c r="U42" s="13"/>
      <c r="V42" s="13"/>
      <c r="W42" s="43"/>
      <c r="X42" s="155"/>
      <c r="Y42" s="50"/>
      <c r="Z42" s="21"/>
      <c r="AA42" s="21"/>
      <c r="AB42" s="21"/>
      <c r="AC42" s="21"/>
      <c r="AD42" s="21"/>
      <c r="AE42" s="21"/>
      <c r="AF42" s="50"/>
      <c r="AG42" s="21"/>
      <c r="AH42" s="202"/>
    </row>
    <row r="43" spans="1:34" ht="15">
      <c r="A43" s="189"/>
      <c r="B43" s="13"/>
      <c r="C43" s="194"/>
      <c r="D43" s="13"/>
      <c r="E43" s="194"/>
      <c r="F43" s="13"/>
      <c r="G43" s="194"/>
      <c r="H43" s="13"/>
      <c r="I43" s="194"/>
      <c r="J43" s="203" t="s">
        <v>36</v>
      </c>
      <c r="K43" s="912">
        <v>2</v>
      </c>
      <c r="L43" s="51"/>
      <c r="M43" s="1191" t="s">
        <v>92</v>
      </c>
      <c r="N43" s="1192"/>
      <c r="O43" s="1192"/>
      <c r="P43" s="1192"/>
      <c r="Q43" s="1192"/>
      <c r="R43" s="1192"/>
      <c r="S43" s="1192"/>
      <c r="T43" s="1192"/>
      <c r="U43" s="1192"/>
      <c r="V43" s="1192"/>
      <c r="W43" s="1193"/>
      <c r="X43" s="1199" t="s">
        <v>36</v>
      </c>
      <c r="Y43" s="1200"/>
      <c r="Z43" s="1200"/>
      <c r="AA43" s="1200"/>
      <c r="AB43" s="1200"/>
      <c r="AC43" s="1200"/>
      <c r="AD43" s="1200"/>
      <c r="AE43" s="1200"/>
      <c r="AF43" s="1200"/>
      <c r="AG43" s="1200"/>
      <c r="AH43" s="1201"/>
    </row>
    <row r="44" spans="1:34" ht="15">
      <c r="A44" s="189"/>
      <c r="B44" s="13"/>
      <c r="C44" s="194"/>
      <c r="D44" s="13"/>
      <c r="E44" s="194"/>
      <c r="F44" s="13"/>
      <c r="G44" s="194"/>
      <c r="H44" s="13"/>
      <c r="I44" s="194"/>
      <c r="J44" s="203"/>
      <c r="K44" s="912">
        <v>3</v>
      </c>
      <c r="L44" s="51"/>
      <c r="M44" s="1191" t="s">
        <v>629</v>
      </c>
      <c r="N44" s="1192"/>
      <c r="O44" s="1192"/>
      <c r="P44" s="1192"/>
      <c r="Q44" s="1192"/>
      <c r="R44" s="1192"/>
      <c r="S44" s="1192"/>
      <c r="T44" s="1192"/>
      <c r="U44" s="1192"/>
      <c r="V44" s="1192"/>
      <c r="W44" s="1193"/>
      <c r="X44" s="1221">
        <f>Лист1!A1*1560</f>
        <v>1716.0000000000002</v>
      </c>
      <c r="Y44" s="1222"/>
      <c r="Z44" s="1222"/>
      <c r="AA44" s="1222"/>
      <c r="AB44" s="1222"/>
      <c r="AC44" s="1222"/>
      <c r="AD44" s="1222"/>
      <c r="AE44" s="1222"/>
      <c r="AF44" s="50"/>
      <c r="AG44" s="50"/>
      <c r="AH44" s="685"/>
    </row>
    <row r="45" spans="1:34" ht="15">
      <c r="A45" s="204"/>
      <c r="B45" s="13"/>
      <c r="C45" s="194"/>
      <c r="D45" s="13"/>
      <c r="E45" s="194"/>
      <c r="F45" s="13"/>
      <c r="G45" s="194"/>
      <c r="H45" s="13"/>
      <c r="I45" s="194"/>
      <c r="J45" s="205" t="s">
        <v>36</v>
      </c>
      <c r="K45" s="913">
        <v>5</v>
      </c>
      <c r="L45" s="52"/>
      <c r="M45" s="1192" t="s">
        <v>94</v>
      </c>
      <c r="N45" s="1192"/>
      <c r="O45" s="1192"/>
      <c r="P45" s="1192"/>
      <c r="Q45" s="1192"/>
      <c r="R45" s="1192"/>
      <c r="S45" s="1192"/>
      <c r="T45" s="1192"/>
      <c r="U45" s="1192"/>
      <c r="V45" s="1192"/>
      <c r="W45" s="1193"/>
      <c r="X45" s="1170">
        <f>Лист1!A1*2470</f>
        <v>2717</v>
      </c>
      <c r="Y45" s="1171"/>
      <c r="Z45" s="1171"/>
      <c r="AA45" s="1171"/>
      <c r="AB45" s="1171"/>
      <c r="AC45" s="1171"/>
      <c r="AD45" s="1171"/>
      <c r="AE45" s="1171"/>
      <c r="AF45" s="1171"/>
      <c r="AG45" s="1171"/>
      <c r="AH45" s="1172"/>
    </row>
    <row r="46" spans="1:34" ht="15">
      <c r="A46" s="189"/>
      <c r="B46" s="13"/>
      <c r="C46" s="194"/>
      <c r="D46" s="13"/>
      <c r="E46" s="194"/>
      <c r="F46" s="13"/>
      <c r="G46" s="194"/>
      <c r="H46" s="13"/>
      <c r="I46" s="194"/>
      <c r="J46" s="13"/>
      <c r="K46" s="194"/>
      <c r="L46" s="13"/>
      <c r="M46" s="13"/>
      <c r="N46" s="13"/>
      <c r="O46" s="206" t="s">
        <v>95</v>
      </c>
      <c r="P46" s="207"/>
      <c r="Q46" s="13"/>
      <c r="R46" s="13"/>
      <c r="S46" s="13"/>
      <c r="T46" s="13"/>
      <c r="U46" s="13"/>
      <c r="V46" s="13"/>
      <c r="W46" s="14"/>
      <c r="X46" s="156"/>
      <c r="Y46" s="53"/>
      <c r="Z46" s="53"/>
      <c r="AA46" s="53"/>
      <c r="AB46" s="53"/>
      <c r="AC46" s="53"/>
      <c r="AD46" s="53"/>
      <c r="AE46" s="53"/>
      <c r="AF46" s="53"/>
      <c r="AG46" s="53"/>
      <c r="AH46" s="208"/>
    </row>
    <row r="47" spans="1:34" ht="15">
      <c r="A47" s="189"/>
      <c r="B47" s="13"/>
      <c r="C47" s="194"/>
      <c r="D47" s="13"/>
      <c r="E47" s="194"/>
      <c r="F47" s="13"/>
      <c r="G47" s="194"/>
      <c r="H47" s="13"/>
      <c r="I47" s="194"/>
      <c r="J47" s="13"/>
      <c r="K47" s="194"/>
      <c r="L47" s="13"/>
      <c r="M47" s="857">
        <v>1</v>
      </c>
      <c r="N47" s="5"/>
      <c r="O47" s="1187" t="s">
        <v>161</v>
      </c>
      <c r="P47" s="1187"/>
      <c r="Q47" s="1187"/>
      <c r="R47" s="1187"/>
      <c r="S47" s="1187"/>
      <c r="T47" s="1187"/>
      <c r="U47" s="1187"/>
      <c r="V47" s="1187"/>
      <c r="W47" s="1188"/>
      <c r="X47" s="1199" t="s">
        <v>36</v>
      </c>
      <c r="Y47" s="1200"/>
      <c r="Z47" s="1200"/>
      <c r="AA47" s="1200"/>
      <c r="AB47" s="1200"/>
      <c r="AC47" s="1200"/>
      <c r="AD47" s="1200"/>
      <c r="AE47" s="1200"/>
      <c r="AF47" s="1200"/>
      <c r="AG47" s="1200"/>
      <c r="AH47" s="1201"/>
    </row>
    <row r="48" spans="1:34" ht="15" customHeight="1">
      <c r="A48" s="1228" t="s">
        <v>657</v>
      </c>
      <c r="B48" s="1229"/>
      <c r="C48" s="1229"/>
      <c r="D48" s="1229"/>
      <c r="E48" s="1229"/>
      <c r="F48" s="1229"/>
      <c r="G48" s="1229"/>
      <c r="H48" s="1229"/>
      <c r="I48" s="1229"/>
      <c r="J48" s="1229"/>
      <c r="K48" s="713"/>
      <c r="L48" s="13"/>
      <c r="M48" s="914">
        <v>2</v>
      </c>
      <c r="N48" s="2"/>
      <c r="O48" s="1186" t="s">
        <v>96</v>
      </c>
      <c r="P48" s="1187"/>
      <c r="Q48" s="1187"/>
      <c r="R48" s="1187"/>
      <c r="S48" s="1187"/>
      <c r="T48" s="1187"/>
      <c r="U48" s="1187"/>
      <c r="V48" s="1187"/>
      <c r="W48" s="1188"/>
      <c r="X48" s="1199" t="s">
        <v>36</v>
      </c>
      <c r="Y48" s="1200"/>
      <c r="Z48" s="1200"/>
      <c r="AA48" s="1200"/>
      <c r="AB48" s="1200"/>
      <c r="AC48" s="1200"/>
      <c r="AD48" s="1200"/>
      <c r="AE48" s="1200"/>
      <c r="AF48" s="1200"/>
      <c r="AG48" s="1200"/>
      <c r="AH48" s="1201"/>
    </row>
    <row r="49" spans="1:34" ht="15" customHeight="1">
      <c r="A49" s="1230"/>
      <c r="B49" s="1231"/>
      <c r="C49" s="1231"/>
      <c r="D49" s="1231"/>
      <c r="E49" s="1231"/>
      <c r="F49" s="1231"/>
      <c r="G49" s="1231"/>
      <c r="H49" s="1231"/>
      <c r="I49" s="1231"/>
      <c r="J49" s="1231"/>
      <c r="K49" s="715"/>
      <c r="L49" s="35"/>
      <c r="M49" s="914">
        <v>3</v>
      </c>
      <c r="N49" s="2"/>
      <c r="O49" s="1187" t="s">
        <v>663</v>
      </c>
      <c r="P49" s="1186"/>
      <c r="Q49" s="1186"/>
      <c r="R49" s="1186"/>
      <c r="S49" s="1186"/>
      <c r="T49" s="1186"/>
      <c r="U49" s="1186"/>
      <c r="V49" s="1186"/>
      <c r="W49" s="1207"/>
      <c r="X49" s="676"/>
      <c r="Y49" s="690"/>
      <c r="Z49" s="691">
        <f>Лист1!A1*7700</f>
        <v>8470</v>
      </c>
      <c r="AA49" s="691">
        <f>Лист1!A1*7700</f>
        <v>8470</v>
      </c>
      <c r="AB49" s="691">
        <f>Лист1!A1*8100</f>
        <v>8910</v>
      </c>
      <c r="AC49" s="691">
        <f>Лист1!A1*9200</f>
        <v>10120</v>
      </c>
      <c r="AD49" s="682">
        <f>Лист1!A1*9200</f>
        <v>10120</v>
      </c>
      <c r="AE49" s="53"/>
      <c r="AF49" s="53"/>
      <c r="AG49" s="53"/>
      <c r="AH49" s="208"/>
    </row>
    <row r="50" spans="1:35" ht="15">
      <c r="A50" s="1232"/>
      <c r="B50" s="1233"/>
      <c r="C50" s="1233"/>
      <c r="D50" s="1233"/>
      <c r="E50" s="1233"/>
      <c r="F50" s="1233"/>
      <c r="G50" s="1233"/>
      <c r="H50" s="1233"/>
      <c r="I50" s="1233"/>
      <c r="J50" s="1233"/>
      <c r="K50" s="714"/>
      <c r="L50" s="13"/>
      <c r="M50" s="914">
        <v>4</v>
      </c>
      <c r="N50" s="2"/>
      <c r="O50" s="1186" t="s">
        <v>97</v>
      </c>
      <c r="P50" s="1187"/>
      <c r="Q50" s="1187"/>
      <c r="R50" s="1187"/>
      <c r="S50" s="1187"/>
      <c r="T50" s="1187"/>
      <c r="U50" s="1187"/>
      <c r="V50" s="1187"/>
      <c r="W50" s="1188"/>
      <c r="X50" s="679"/>
      <c r="Y50" s="694"/>
      <c r="Z50" s="670">
        <f>Лист1!A1*6400</f>
        <v>7040.000000000001</v>
      </c>
      <c r="AA50" s="166">
        <f>Лист1!A1*6400</f>
        <v>7040.000000000001</v>
      </c>
      <c r="AB50" s="692">
        <f>Лист1!A1*7800</f>
        <v>8580</v>
      </c>
      <c r="AC50" s="49">
        <f>Лист1!A1*9900</f>
        <v>10890</v>
      </c>
      <c r="AD50" s="177">
        <f>Лист1!A1*9900</f>
        <v>10890</v>
      </c>
      <c r="AE50" s="682">
        <f>Лист1!A1*9200</f>
        <v>10120</v>
      </c>
      <c r="AF50" s="682">
        <f>Лист1!A1*9200</f>
        <v>10120</v>
      </c>
      <c r="AG50" s="49">
        <f>Лист1!A1*10800</f>
        <v>11880.000000000002</v>
      </c>
      <c r="AH50" s="686">
        <f>Лист1!A1*10800</f>
        <v>11880.000000000002</v>
      </c>
      <c r="AI50" s="427"/>
    </row>
    <row r="51" spans="1:35" ht="15">
      <c r="A51" s="189"/>
      <c r="B51" s="13"/>
      <c r="C51" s="194"/>
      <c r="D51" s="13"/>
      <c r="E51" s="194"/>
      <c r="F51" s="13"/>
      <c r="G51" s="194"/>
      <c r="H51" s="13"/>
      <c r="I51" s="194"/>
      <c r="J51" s="13"/>
      <c r="K51" s="194"/>
      <c r="L51" s="13"/>
      <c r="M51" s="914">
        <v>5</v>
      </c>
      <c r="N51" s="2"/>
      <c r="O51" s="1186" t="s">
        <v>98</v>
      </c>
      <c r="P51" s="1187"/>
      <c r="Q51" s="1187"/>
      <c r="R51" s="1187"/>
      <c r="S51" s="1187"/>
      <c r="T51" s="1187"/>
      <c r="U51" s="1187"/>
      <c r="V51" s="1187"/>
      <c r="W51" s="1188"/>
      <c r="X51" s="54"/>
      <c r="Y51" s="695"/>
      <c r="Z51" s="671">
        <f>Лист1!A1*7800</f>
        <v>8580</v>
      </c>
      <c r="AA51" s="671">
        <f>Лист1!A1*7800</f>
        <v>8580</v>
      </c>
      <c r="AB51" s="49">
        <f>Лист1!A1*9500</f>
        <v>10450</v>
      </c>
      <c r="AC51" s="49">
        <f>Лист1!A1*11450</f>
        <v>12595.000000000002</v>
      </c>
      <c r="AD51" s="49">
        <f>Лист1!A1*11450</f>
        <v>12595.000000000002</v>
      </c>
      <c r="AE51" s="55"/>
      <c r="AF51" s="56"/>
      <c r="AG51" s="56"/>
      <c r="AH51" s="209"/>
      <c r="AI51" s="427"/>
    </row>
    <row r="52" spans="1:35" ht="15">
      <c r="A52" s="189"/>
      <c r="B52" s="13"/>
      <c r="C52" s="194"/>
      <c r="D52" s="13"/>
      <c r="E52" s="194"/>
      <c r="F52" s="13"/>
      <c r="G52" s="194"/>
      <c r="H52" s="13"/>
      <c r="I52" s="194"/>
      <c r="J52" s="13"/>
      <c r="K52" s="194"/>
      <c r="L52" s="13"/>
      <c r="M52" s="914">
        <v>6</v>
      </c>
      <c r="N52" s="2"/>
      <c r="O52" s="1186" t="s">
        <v>99</v>
      </c>
      <c r="P52" s="1187"/>
      <c r="Q52" s="1187"/>
      <c r="R52" s="1187"/>
      <c r="S52" s="1187"/>
      <c r="T52" s="1187"/>
      <c r="U52" s="1187"/>
      <c r="V52" s="1187"/>
      <c r="W52" s="1188"/>
      <c r="X52" s="679"/>
      <c r="Y52" s="696"/>
      <c r="Z52" s="693">
        <f>Лист1!A1*7800</f>
        <v>8580</v>
      </c>
      <c r="AA52" s="693">
        <f>Лист1!A1*7800</f>
        <v>8580</v>
      </c>
      <c r="AB52" s="49">
        <f>Лист1!A1*9500</f>
        <v>10450</v>
      </c>
      <c r="AC52" s="49">
        <f>Лист1!A1*11450</f>
        <v>12595.000000000002</v>
      </c>
      <c r="AD52" s="49">
        <f>Лист1!A1*11450</f>
        <v>12595.000000000002</v>
      </c>
      <c r="AE52" s="49">
        <f>Лист1!A1*12900</f>
        <v>14190.000000000002</v>
      </c>
      <c r="AF52" s="49">
        <f>Лист1!A1*12900</f>
        <v>14190.000000000002</v>
      </c>
      <c r="AG52" s="49">
        <f>Лист1!A1*13900</f>
        <v>15290.000000000002</v>
      </c>
      <c r="AH52" s="686">
        <f>Лист1!A1*13900</f>
        <v>15290.000000000002</v>
      </c>
      <c r="AI52" s="427"/>
    </row>
    <row r="53" spans="1:35" ht="15">
      <c r="A53" s="189"/>
      <c r="B53" s="13"/>
      <c r="C53" s="194"/>
      <c r="D53" s="13"/>
      <c r="E53" s="194"/>
      <c r="F53" s="13"/>
      <c r="G53" s="194"/>
      <c r="H53" s="13"/>
      <c r="I53" s="194"/>
      <c r="J53" s="13"/>
      <c r="K53" s="194"/>
      <c r="L53" s="13"/>
      <c r="M53" s="857">
        <v>7</v>
      </c>
      <c r="N53" s="9"/>
      <c r="O53" s="1187" t="s">
        <v>662</v>
      </c>
      <c r="P53" s="1187"/>
      <c r="Q53" s="1187"/>
      <c r="R53" s="1187"/>
      <c r="S53" s="1187"/>
      <c r="T53" s="1187"/>
      <c r="U53" s="1187"/>
      <c r="V53" s="1187"/>
      <c r="W53" s="1188"/>
      <c r="X53" s="679"/>
      <c r="Y53" s="680"/>
      <c r="Z53" s="166">
        <f>Лист1!A1*7800</f>
        <v>8580</v>
      </c>
      <c r="AA53" s="672">
        <f>Лист1!A1*7800</f>
        <v>8580</v>
      </c>
      <c r="AB53" s="49">
        <f>Лист1!A1*9500</f>
        <v>10450</v>
      </c>
      <c r="AC53" s="49">
        <f>Лист1!A1*11450</f>
        <v>12595.000000000002</v>
      </c>
      <c r="AD53" s="49">
        <f>Лист1!A1*11450</f>
        <v>12595.000000000002</v>
      </c>
      <c r="AE53" s="49">
        <f>Лист1!A1*12900</f>
        <v>14190.000000000002</v>
      </c>
      <c r="AF53" s="49">
        <f>Лист1!A1*12900</f>
        <v>14190.000000000002</v>
      </c>
      <c r="AG53" s="49">
        <f>Лист1!A1*13900</f>
        <v>15290.000000000002</v>
      </c>
      <c r="AH53" s="686">
        <f>Лист1!A1*13900</f>
        <v>15290.000000000002</v>
      </c>
      <c r="AI53" s="427"/>
    </row>
    <row r="54" spans="1:34" ht="15">
      <c r="A54" s="189"/>
      <c r="B54" s="13"/>
      <c r="C54" s="194"/>
      <c r="D54" s="13"/>
      <c r="E54" s="194"/>
      <c r="F54" s="13"/>
      <c r="G54" s="194"/>
      <c r="H54" s="13"/>
      <c r="I54" s="194"/>
      <c r="J54" s="13"/>
      <c r="K54" s="194"/>
      <c r="L54" s="13"/>
      <c r="M54" s="857">
        <v>9</v>
      </c>
      <c r="N54" s="9"/>
      <c r="O54" s="1194" t="s">
        <v>100</v>
      </c>
      <c r="P54" s="1194"/>
      <c r="Q54" s="1194"/>
      <c r="R54" s="1194"/>
      <c r="S54" s="1194"/>
      <c r="T54" s="1194"/>
      <c r="U54" s="1194"/>
      <c r="V54" s="1194"/>
      <c r="W54" s="1195"/>
      <c r="X54" s="1208" t="s">
        <v>133</v>
      </c>
      <c r="Y54" s="1209"/>
      <c r="Z54" s="1209"/>
      <c r="AA54" s="1209"/>
      <c r="AB54" s="1209"/>
      <c r="AC54" s="1209"/>
      <c r="AD54" s="1209"/>
      <c r="AE54" s="1209"/>
      <c r="AF54" s="1209"/>
      <c r="AG54" s="1209"/>
      <c r="AH54" s="1210"/>
    </row>
    <row r="55" spans="1:34" ht="12" customHeight="1">
      <c r="A55" s="711"/>
      <c r="B55" s="35"/>
      <c r="C55" s="66"/>
      <c r="D55" s="35"/>
      <c r="E55" s="66"/>
      <c r="F55" s="35"/>
      <c r="G55" s="66"/>
      <c r="H55" s="35"/>
      <c r="I55" s="66"/>
      <c r="J55" s="35"/>
      <c r="K55" s="66"/>
      <c r="L55" s="35"/>
      <c r="M55" s="68"/>
      <c r="N55" s="210"/>
      <c r="O55" s="211"/>
      <c r="P55" s="13"/>
      <c r="Q55" s="212" t="s">
        <v>101</v>
      </c>
      <c r="R55" s="213"/>
      <c r="S55" s="213"/>
      <c r="T55" s="213"/>
      <c r="U55" s="213"/>
      <c r="V55" s="213"/>
      <c r="W55" s="14"/>
      <c r="X55" s="142"/>
      <c r="Y55" s="136"/>
      <c r="Z55" s="136"/>
      <c r="AA55" s="136"/>
      <c r="AB55" s="136"/>
      <c r="AC55" s="136"/>
      <c r="AD55" s="136"/>
      <c r="AE55" s="136"/>
      <c r="AF55" s="136"/>
      <c r="AG55" s="136"/>
      <c r="AH55" s="214"/>
    </row>
    <row r="56" spans="1:34" ht="20.25" customHeight="1">
      <c r="A56" s="1182" t="s">
        <v>664</v>
      </c>
      <c r="B56" s="1183"/>
      <c r="C56" s="1183"/>
      <c r="D56" s="1183"/>
      <c r="E56" s="1183"/>
      <c r="F56" s="1183"/>
      <c r="G56" s="1183"/>
      <c r="H56" s="1183"/>
      <c r="I56" s="1183"/>
      <c r="J56" s="1183"/>
      <c r="K56" s="1183"/>
      <c r="L56" s="1183"/>
      <c r="M56" s="712"/>
      <c r="N56" s="710"/>
      <c r="O56" s="915">
        <v>0</v>
      </c>
      <c r="P56" s="59"/>
      <c r="Q56" s="1186" t="s">
        <v>102</v>
      </c>
      <c r="R56" s="1187"/>
      <c r="S56" s="1187"/>
      <c r="T56" s="1187"/>
      <c r="U56" s="1187"/>
      <c r="V56" s="1187"/>
      <c r="W56" s="1188"/>
      <c r="X56" s="1223" t="s">
        <v>36</v>
      </c>
      <c r="Y56" s="1224"/>
      <c r="Z56" s="1224"/>
      <c r="AA56" s="1224"/>
      <c r="AB56" s="1224"/>
      <c r="AC56" s="1224"/>
      <c r="AD56" s="1224"/>
      <c r="AE56" s="1224"/>
      <c r="AF56" s="1224"/>
      <c r="AG56" s="1224"/>
      <c r="AH56" s="1225"/>
    </row>
    <row r="57" spans="1:34" ht="15" customHeight="1">
      <c r="A57" s="178"/>
      <c r="B57" s="6"/>
      <c r="C57" s="704"/>
      <c r="D57" s="705"/>
      <c r="E57" s="706"/>
      <c r="F57" s="706"/>
      <c r="G57" s="706"/>
      <c r="H57" s="706"/>
      <c r="I57" s="706"/>
      <c r="J57" s="706"/>
      <c r="K57" s="707"/>
      <c r="L57" s="708"/>
      <c r="M57" s="706"/>
      <c r="N57" s="709"/>
      <c r="O57" s="916">
        <v>1</v>
      </c>
      <c r="P57" s="61"/>
      <c r="Q57" s="1226" t="s">
        <v>37</v>
      </c>
      <c r="R57" s="1226"/>
      <c r="S57" s="1226"/>
      <c r="T57" s="1226"/>
      <c r="U57" s="1226"/>
      <c r="V57" s="1226"/>
      <c r="W57" s="1227"/>
      <c r="X57" s="1223" t="s">
        <v>36</v>
      </c>
      <c r="Y57" s="1224"/>
      <c r="Z57" s="1224"/>
      <c r="AA57" s="1224"/>
      <c r="AB57" s="1224"/>
      <c r="AC57" s="1224"/>
      <c r="AD57" s="1224"/>
      <c r="AE57" s="1224"/>
      <c r="AF57" s="1224"/>
      <c r="AG57" s="1224"/>
      <c r="AH57" s="1225"/>
    </row>
    <row r="58" spans="1:34" ht="15">
      <c r="A58" s="19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915">
        <v>2</v>
      </c>
      <c r="P58" s="61"/>
      <c r="Q58" s="1265" t="s">
        <v>105</v>
      </c>
      <c r="R58" s="1226"/>
      <c r="S58" s="1226"/>
      <c r="T58" s="1226"/>
      <c r="U58" s="1226"/>
      <c r="V58" s="1226"/>
      <c r="W58" s="1227"/>
      <c r="X58" s="1223" t="s">
        <v>36</v>
      </c>
      <c r="Y58" s="1224"/>
      <c r="Z58" s="1224"/>
      <c r="AA58" s="1224"/>
      <c r="AB58" s="1224"/>
      <c r="AC58" s="1224"/>
      <c r="AD58" s="1224"/>
      <c r="AE58" s="1224"/>
      <c r="AF58" s="1224"/>
      <c r="AG58" s="1224"/>
      <c r="AH58" s="1225"/>
    </row>
    <row r="59" spans="1:34" ht="15">
      <c r="A59" s="19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915">
        <v>9</v>
      </c>
      <c r="P59" s="61"/>
      <c r="Q59" s="1187" t="s">
        <v>163</v>
      </c>
      <c r="R59" s="1226"/>
      <c r="S59" s="1226"/>
      <c r="T59" s="1226"/>
      <c r="U59" s="1226"/>
      <c r="V59" s="1226"/>
      <c r="W59" s="1227"/>
      <c r="X59" s="1223" t="s">
        <v>36</v>
      </c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5"/>
    </row>
    <row r="60" spans="1:34" ht="15">
      <c r="A60" s="189"/>
      <c r="B60" s="13"/>
      <c r="C60" s="194"/>
      <c r="D60" s="13"/>
      <c r="E60" s="194"/>
      <c r="F60" s="13"/>
      <c r="G60" s="194"/>
      <c r="H60" s="13"/>
      <c r="I60" s="194"/>
      <c r="J60" s="13"/>
      <c r="K60" s="194"/>
      <c r="L60" s="13"/>
      <c r="M60" s="30"/>
      <c r="N60" s="210"/>
      <c r="O60" s="30"/>
      <c r="P60" s="13"/>
      <c r="Q60" s="211"/>
      <c r="R60" s="211"/>
      <c r="S60" s="206" t="s">
        <v>103</v>
      </c>
      <c r="T60" s="215"/>
      <c r="U60" s="215"/>
      <c r="V60" s="215"/>
      <c r="W60" s="62"/>
      <c r="X60" s="1262" t="s">
        <v>127</v>
      </c>
      <c r="Y60" s="1263"/>
      <c r="Z60" s="1263"/>
      <c r="AA60" s="1263"/>
      <c r="AB60" s="1263"/>
      <c r="AC60" s="1263"/>
      <c r="AD60" s="1263"/>
      <c r="AE60" s="1263"/>
      <c r="AF60" s="1263"/>
      <c r="AG60" s="1263"/>
      <c r="AH60" s="1264"/>
    </row>
    <row r="61" spans="1:34" ht="15">
      <c r="A61" s="189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917" t="s">
        <v>38</v>
      </c>
      <c r="R61" s="63"/>
      <c r="S61" s="1189" t="s">
        <v>104</v>
      </c>
      <c r="T61" s="1189"/>
      <c r="U61" s="1189"/>
      <c r="V61" s="1189"/>
      <c r="W61" s="1190"/>
      <c r="X61" s="1223" t="s">
        <v>36</v>
      </c>
      <c r="Y61" s="1224"/>
      <c r="Z61" s="1224"/>
      <c r="AA61" s="1224"/>
      <c r="AB61" s="1224"/>
      <c r="AC61" s="1224"/>
      <c r="AD61" s="1224"/>
      <c r="AE61" s="1224"/>
      <c r="AF61" s="1224"/>
      <c r="AG61" s="1224"/>
      <c r="AH61" s="1225"/>
    </row>
    <row r="62" spans="1:34" ht="16.5" customHeight="1">
      <c r="A62" s="189"/>
      <c r="B62" s="64"/>
      <c r="C62" s="164" t="s">
        <v>656</v>
      </c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93"/>
      <c r="O62" s="66"/>
      <c r="P62" s="6"/>
      <c r="Q62" s="916" t="s">
        <v>39</v>
      </c>
      <c r="R62" s="63"/>
      <c r="S62" s="1189" t="s">
        <v>148</v>
      </c>
      <c r="T62" s="1189"/>
      <c r="U62" s="1189"/>
      <c r="V62" s="1189"/>
      <c r="W62" s="1190"/>
      <c r="X62" s="1170">
        <f>Лист1!A1*2220</f>
        <v>2442</v>
      </c>
      <c r="Y62" s="1171"/>
      <c r="Z62" s="1171"/>
      <c r="AA62" s="1171"/>
      <c r="AB62" s="1171"/>
      <c r="AC62" s="1171"/>
      <c r="AD62" s="1171"/>
      <c r="AE62" s="1171"/>
      <c r="AF62" s="1171"/>
      <c r="AG62" s="1171"/>
      <c r="AH62" s="1172"/>
    </row>
    <row r="63" spans="1:34" ht="17.25" customHeight="1">
      <c r="A63" s="189"/>
      <c r="B63" s="65"/>
      <c r="C63" s="165" t="s">
        <v>135</v>
      </c>
      <c r="D63" s="67"/>
      <c r="E63" s="66"/>
      <c r="F63" s="67"/>
      <c r="G63" s="66"/>
      <c r="H63" s="67"/>
      <c r="I63" s="66"/>
      <c r="J63" s="60"/>
      <c r="K63" s="66"/>
      <c r="L63" s="67"/>
      <c r="M63" s="68"/>
      <c r="N63" s="68"/>
      <c r="O63" s="68"/>
      <c r="P63" s="69"/>
      <c r="Q63" s="876" t="s">
        <v>40</v>
      </c>
      <c r="R63" s="63"/>
      <c r="S63" s="1166" t="s">
        <v>106</v>
      </c>
      <c r="T63" s="1166"/>
      <c r="U63" s="1166"/>
      <c r="V63" s="1166"/>
      <c r="W63" s="1167"/>
      <c r="X63" s="17">
        <f>Лист1!A1*2220</f>
        <v>2442</v>
      </c>
      <c r="Y63" s="70"/>
      <c r="Z63" s="216"/>
      <c r="AA63" s="181"/>
      <c r="AB63" s="181"/>
      <c r="AC63" s="181"/>
      <c r="AD63" s="181"/>
      <c r="AE63" s="181"/>
      <c r="AF63" s="181"/>
      <c r="AG63" s="181"/>
      <c r="AH63" s="217"/>
    </row>
    <row r="64" spans="1:34" ht="27.75" customHeight="1">
      <c r="A64" s="189"/>
      <c r="B64" s="716"/>
      <c r="C64" s="72"/>
      <c r="D64" s="71"/>
      <c r="E64" s="72"/>
      <c r="F64" s="71"/>
      <c r="G64" s="72"/>
      <c r="H64" s="71"/>
      <c r="I64" s="73" t="s">
        <v>136</v>
      </c>
      <c r="J64" s="71"/>
      <c r="K64" s="72"/>
      <c r="L64" s="71"/>
      <c r="M64" s="74"/>
      <c r="N64" s="74"/>
      <c r="O64" s="75"/>
      <c r="P64" s="76"/>
      <c r="Q64" s="874" t="s">
        <v>41</v>
      </c>
      <c r="R64" s="681" t="s">
        <v>35</v>
      </c>
      <c r="S64" s="1166" t="s">
        <v>714</v>
      </c>
      <c r="T64" s="1166"/>
      <c r="U64" s="1166"/>
      <c r="V64" s="1166"/>
      <c r="W64" s="1167"/>
      <c r="X64" s="674">
        <f>Лист1!A1*8060</f>
        <v>8866</v>
      </c>
      <c r="Y64" s="70"/>
      <c r="Z64" s="77"/>
      <c r="AA64" s="77"/>
      <c r="AB64" s="77"/>
      <c r="AC64" s="77"/>
      <c r="AD64" s="77"/>
      <c r="AE64" s="77"/>
      <c r="AF64" s="77"/>
      <c r="AG64" s="77"/>
      <c r="AH64" s="218"/>
    </row>
    <row r="65" spans="1:34" ht="18" customHeight="1">
      <c r="A65" s="189"/>
      <c r="B65" s="78"/>
      <c r="C65" s="79"/>
      <c r="D65" s="29"/>
      <c r="E65" s="79"/>
      <c r="F65" s="29"/>
      <c r="G65" s="79"/>
      <c r="H65" s="29"/>
      <c r="I65" s="80" t="s">
        <v>137</v>
      </c>
      <c r="J65" s="81"/>
      <c r="K65" s="79"/>
      <c r="L65" s="29"/>
      <c r="M65" s="82"/>
      <c r="N65" s="82"/>
      <c r="O65" s="82"/>
      <c r="P65" s="69"/>
      <c r="Q65" s="874" t="s">
        <v>42</v>
      </c>
      <c r="R65" s="83"/>
      <c r="S65" s="1189" t="s">
        <v>715</v>
      </c>
      <c r="T65" s="1189"/>
      <c r="U65" s="1189"/>
      <c r="V65" s="1189"/>
      <c r="W65" s="1190"/>
      <c r="X65" s="1170">
        <f>Лист1!A1*5900</f>
        <v>6490.000000000001</v>
      </c>
      <c r="Y65" s="1171"/>
      <c r="Z65" s="1171"/>
      <c r="AA65" s="1171"/>
      <c r="AB65" s="1171"/>
      <c r="AC65" s="1171"/>
      <c r="AD65" s="1171"/>
      <c r="AE65" s="1171"/>
      <c r="AF65" s="1171"/>
      <c r="AG65" s="1171"/>
      <c r="AH65" s="1172"/>
    </row>
    <row r="66" spans="1:34" ht="18.75" customHeight="1">
      <c r="A66" s="189"/>
      <c r="B66" s="78"/>
      <c r="C66" s="79"/>
      <c r="D66" s="29"/>
      <c r="E66" s="79"/>
      <c r="F66" s="29"/>
      <c r="G66" s="79"/>
      <c r="H66" s="29"/>
      <c r="I66" s="80" t="s">
        <v>137</v>
      </c>
      <c r="J66" s="81"/>
      <c r="K66" s="79"/>
      <c r="L66" s="29"/>
      <c r="M66" s="82"/>
      <c r="N66" s="82"/>
      <c r="O66" s="82"/>
      <c r="P66" s="69"/>
      <c r="Q66" s="874" t="s">
        <v>43</v>
      </c>
      <c r="R66" s="83"/>
      <c r="S66" s="1166" t="s">
        <v>716</v>
      </c>
      <c r="T66" s="1166"/>
      <c r="U66" s="1166"/>
      <c r="V66" s="1166"/>
      <c r="W66" s="1167"/>
      <c r="X66" s="1170">
        <f>Лист1!A1*8120</f>
        <v>8932</v>
      </c>
      <c r="Y66" s="1171"/>
      <c r="Z66" s="1171"/>
      <c r="AA66" s="1171"/>
      <c r="AB66" s="1171"/>
      <c r="AC66" s="1171"/>
      <c r="AD66" s="1171"/>
      <c r="AE66" s="1171"/>
      <c r="AF66" s="1171"/>
      <c r="AG66" s="1171"/>
      <c r="AH66" s="1172"/>
    </row>
    <row r="67" spans="1:34" ht="15.75" customHeight="1">
      <c r="A67" s="189"/>
      <c r="B67" s="78"/>
      <c r="C67" s="1168" t="s">
        <v>659</v>
      </c>
      <c r="D67" s="1169"/>
      <c r="E67" s="1169"/>
      <c r="F67" s="1169"/>
      <c r="G67" s="1169"/>
      <c r="H67" s="1169"/>
      <c r="I67" s="1169"/>
      <c r="J67" s="1169"/>
      <c r="K67" s="1169"/>
      <c r="L67" s="1169"/>
      <c r="M67" s="1169"/>
      <c r="N67" s="1169"/>
      <c r="O67" s="1169"/>
      <c r="P67" s="69"/>
      <c r="Q67" s="874" t="s">
        <v>631</v>
      </c>
      <c r="R67" s="83"/>
      <c r="S67" s="1166" t="s">
        <v>658</v>
      </c>
      <c r="T67" s="1166"/>
      <c r="U67" s="1166"/>
      <c r="V67" s="1166"/>
      <c r="W67" s="1167"/>
      <c r="X67" s="1170">
        <f>Лист1!A1*1170</f>
        <v>1287</v>
      </c>
      <c r="Y67" s="1171"/>
      <c r="Z67" s="1171"/>
      <c r="AA67" s="1171"/>
      <c r="AB67" s="1171"/>
      <c r="AC67" s="1171"/>
      <c r="AD67" s="1171"/>
      <c r="AE67" s="1171"/>
      <c r="AF67" s="1171"/>
      <c r="AG67" s="1171"/>
      <c r="AH67" s="1172"/>
    </row>
    <row r="68" spans="1:34" ht="22.5" customHeight="1">
      <c r="A68" s="189"/>
      <c r="B68" s="78"/>
      <c r="C68" s="79"/>
      <c r="D68" s="29"/>
      <c r="E68" s="79"/>
      <c r="F68" s="29"/>
      <c r="G68" s="79"/>
      <c r="H68" s="29"/>
      <c r="I68" s="80" t="s">
        <v>137</v>
      </c>
      <c r="J68" s="81"/>
      <c r="K68" s="79"/>
      <c r="L68" s="29"/>
      <c r="M68" s="82"/>
      <c r="N68" s="82"/>
      <c r="O68" s="82"/>
      <c r="P68" s="69"/>
      <c r="Q68" s="874" t="s">
        <v>632</v>
      </c>
      <c r="R68" s="83"/>
      <c r="S68" s="1166" t="s">
        <v>660</v>
      </c>
      <c r="T68" s="1166"/>
      <c r="U68" s="1166"/>
      <c r="V68" s="1166"/>
      <c r="W68" s="1167"/>
      <c r="X68" s="1170">
        <f>Лист1!A1*6900</f>
        <v>7590.000000000001</v>
      </c>
      <c r="Y68" s="1171"/>
      <c r="Z68" s="1171"/>
      <c r="AA68" s="1171"/>
      <c r="AB68" s="1171"/>
      <c r="AC68" s="1171"/>
      <c r="AD68" s="1171"/>
      <c r="AE68" s="1171"/>
      <c r="AF68" s="1171"/>
      <c r="AG68" s="1171"/>
      <c r="AH68" s="1172"/>
    </row>
    <row r="69" spans="1:34" ht="15">
      <c r="A69" s="219"/>
      <c r="B69" s="78"/>
      <c r="C69" s="1248" t="s">
        <v>138</v>
      </c>
      <c r="D69" s="1248"/>
      <c r="E69" s="1248"/>
      <c r="F69" s="1248"/>
      <c r="G69" s="1248"/>
      <c r="H69" s="1248"/>
      <c r="I69" s="1248"/>
      <c r="J69" s="1248"/>
      <c r="K69" s="1248"/>
      <c r="L69" s="1248"/>
      <c r="M69" s="1248"/>
      <c r="N69" s="1248"/>
      <c r="O69" s="1248"/>
      <c r="P69" s="1248"/>
      <c r="Q69" s="876" t="s">
        <v>44</v>
      </c>
      <c r="R69" s="84"/>
      <c r="S69" s="1240" t="s">
        <v>107</v>
      </c>
      <c r="T69" s="1240"/>
      <c r="U69" s="1240"/>
      <c r="V69" s="1240"/>
      <c r="W69" s="1241"/>
      <c r="X69" s="1242">
        <f>Лист1!A1*8800</f>
        <v>9680</v>
      </c>
      <c r="Y69" s="1243"/>
      <c r="Z69" s="1243"/>
      <c r="AA69" s="1243"/>
      <c r="AB69" s="1243"/>
      <c r="AC69" s="1243"/>
      <c r="AD69" s="1243"/>
      <c r="AE69" s="1243"/>
      <c r="AF69" s="1243"/>
      <c r="AG69" s="1243"/>
      <c r="AH69" s="1244"/>
    </row>
    <row r="70" spans="1:34" ht="15.75" customHeight="1">
      <c r="A70" s="219"/>
      <c r="B70" s="78"/>
      <c r="C70" s="79"/>
      <c r="D70" s="29"/>
      <c r="E70" s="79"/>
      <c r="F70" s="29"/>
      <c r="G70" s="79"/>
      <c r="H70" s="29"/>
      <c r="I70" s="80" t="s">
        <v>136</v>
      </c>
      <c r="J70" s="81"/>
      <c r="K70" s="79"/>
      <c r="L70" s="29"/>
      <c r="M70" s="82"/>
      <c r="N70" s="82"/>
      <c r="O70" s="82"/>
      <c r="P70" s="69"/>
      <c r="Q70" s="918" t="s">
        <v>45</v>
      </c>
      <c r="R70" s="85"/>
      <c r="S70" s="1238" t="s">
        <v>149</v>
      </c>
      <c r="T70" s="1238"/>
      <c r="U70" s="1238"/>
      <c r="V70" s="1238"/>
      <c r="W70" s="1239"/>
      <c r="X70" s="1242">
        <f>Лист1!A1*10500</f>
        <v>11550.000000000002</v>
      </c>
      <c r="Y70" s="1243"/>
      <c r="Z70" s="1243"/>
      <c r="AA70" s="1243"/>
      <c r="AB70" s="1243"/>
      <c r="AC70" s="1243"/>
      <c r="AD70" s="1243"/>
      <c r="AE70" s="1243"/>
      <c r="AF70" s="1243"/>
      <c r="AG70" s="1243"/>
      <c r="AH70" s="1244"/>
    </row>
    <row r="71" spans="1:34" ht="23.25" customHeight="1">
      <c r="A71" s="219"/>
      <c r="B71" s="29"/>
      <c r="C71" s="1220" t="s">
        <v>139</v>
      </c>
      <c r="D71" s="1220"/>
      <c r="E71" s="1220"/>
      <c r="F71" s="1220"/>
      <c r="G71" s="1220"/>
      <c r="H71" s="1220"/>
      <c r="I71" s="1220"/>
      <c r="J71" s="1220"/>
      <c r="K71" s="1220"/>
      <c r="L71" s="1220"/>
      <c r="M71" s="1220"/>
      <c r="N71" s="1220"/>
      <c r="O71" s="1220"/>
      <c r="P71" s="1220"/>
      <c r="Q71" s="916" t="s">
        <v>46</v>
      </c>
      <c r="R71" s="63"/>
      <c r="S71" s="1240" t="s">
        <v>108</v>
      </c>
      <c r="T71" s="1240"/>
      <c r="U71" s="1240"/>
      <c r="V71" s="1240"/>
      <c r="W71" s="1241"/>
      <c r="X71" s="1242">
        <f>Лист1!A1*20500</f>
        <v>22550.000000000004</v>
      </c>
      <c r="Y71" s="1243"/>
      <c r="Z71" s="1243"/>
      <c r="AA71" s="1243"/>
      <c r="AB71" s="1243"/>
      <c r="AC71" s="1243"/>
      <c r="AD71" s="1243"/>
      <c r="AE71" s="1243"/>
      <c r="AF71" s="1243"/>
      <c r="AG71" s="1243"/>
      <c r="AH71" s="1244"/>
    </row>
    <row r="72" spans="1:34" ht="17.25" customHeight="1">
      <c r="A72" s="219"/>
      <c r="B72" s="78"/>
      <c r="C72" s="79"/>
      <c r="D72" s="29"/>
      <c r="E72" s="79"/>
      <c r="F72" s="29"/>
      <c r="G72" s="79"/>
      <c r="H72" s="29"/>
      <c r="I72" s="80" t="s">
        <v>137</v>
      </c>
      <c r="J72" s="81"/>
      <c r="K72" s="79"/>
      <c r="L72" s="29"/>
      <c r="M72" s="82"/>
      <c r="N72" s="82"/>
      <c r="O72" s="82"/>
      <c r="P72" s="69"/>
      <c r="Q72" s="919" t="s">
        <v>47</v>
      </c>
      <c r="R72" s="86"/>
      <c r="S72" s="1238" t="s">
        <v>150</v>
      </c>
      <c r="T72" s="1238"/>
      <c r="U72" s="1238"/>
      <c r="V72" s="1238"/>
      <c r="W72" s="1239"/>
      <c r="X72" s="1242">
        <f>Лист1!A1*22200</f>
        <v>24420.000000000004</v>
      </c>
      <c r="Y72" s="1243"/>
      <c r="Z72" s="1243"/>
      <c r="AA72" s="1243"/>
      <c r="AB72" s="1243"/>
      <c r="AC72" s="1243"/>
      <c r="AD72" s="1243"/>
      <c r="AE72" s="1243"/>
      <c r="AF72" s="1243"/>
      <c r="AG72" s="1243"/>
      <c r="AH72" s="1244"/>
    </row>
    <row r="73" spans="1:34" ht="21" customHeight="1">
      <c r="A73" s="219"/>
      <c r="B73" s="29"/>
      <c r="C73" s="1220" t="s">
        <v>140</v>
      </c>
      <c r="D73" s="1220"/>
      <c r="E73" s="1220"/>
      <c r="F73" s="1220"/>
      <c r="G73" s="1220"/>
      <c r="H73" s="1220"/>
      <c r="I73" s="1220"/>
      <c r="J73" s="1220"/>
      <c r="K73" s="1220"/>
      <c r="L73" s="1220"/>
      <c r="M73" s="1220"/>
      <c r="N73" s="1220"/>
      <c r="O73" s="1220"/>
      <c r="P73" s="1220"/>
      <c r="Q73" s="876" t="s">
        <v>48</v>
      </c>
      <c r="R73" s="85"/>
      <c r="S73" s="161" t="s">
        <v>840</v>
      </c>
      <c r="T73" s="161"/>
      <c r="U73" s="161"/>
      <c r="V73" s="161"/>
      <c r="W73" s="162"/>
      <c r="X73" s="1242">
        <f>Лист1!A1*16600</f>
        <v>18260</v>
      </c>
      <c r="Y73" s="1243"/>
      <c r="Z73" s="1243"/>
      <c r="AA73" s="1243"/>
      <c r="AB73" s="1243"/>
      <c r="AC73" s="1243"/>
      <c r="AD73" s="1243"/>
      <c r="AE73" s="1243"/>
      <c r="AF73" s="1243"/>
      <c r="AG73" s="1243"/>
      <c r="AH73" s="1244"/>
    </row>
    <row r="74" spans="1:34" ht="15">
      <c r="A74" s="189"/>
      <c r="B74" s="78"/>
      <c r="C74" s="79"/>
      <c r="D74" s="29"/>
      <c r="E74" s="79"/>
      <c r="F74" s="29"/>
      <c r="G74" s="79"/>
      <c r="H74" s="29"/>
      <c r="I74" s="80" t="s">
        <v>49</v>
      </c>
      <c r="J74" s="29"/>
      <c r="K74" s="79"/>
      <c r="L74" s="29"/>
      <c r="M74" s="82"/>
      <c r="N74" s="82"/>
      <c r="O74" s="82"/>
      <c r="P74" s="69"/>
      <c r="Q74" s="876" t="s">
        <v>50</v>
      </c>
      <c r="R74" s="84"/>
      <c r="S74" s="1240" t="s">
        <v>109</v>
      </c>
      <c r="T74" s="1240"/>
      <c r="U74" s="1240"/>
      <c r="V74" s="1240"/>
      <c r="W74" s="1241"/>
      <c r="X74" s="1242">
        <f>Лист1!A1*21700</f>
        <v>23870.000000000004</v>
      </c>
      <c r="Y74" s="1243"/>
      <c r="Z74" s="1243"/>
      <c r="AA74" s="1243"/>
      <c r="AB74" s="1243"/>
      <c r="AC74" s="1243"/>
      <c r="AD74" s="1243"/>
      <c r="AE74" s="1243"/>
      <c r="AF74" s="1243"/>
      <c r="AG74" s="1243"/>
      <c r="AH74" s="1244"/>
    </row>
    <row r="75" spans="1:34" ht="15">
      <c r="A75" s="189"/>
      <c r="B75" s="53"/>
      <c r="C75" s="194"/>
      <c r="D75" s="53"/>
      <c r="E75" s="194"/>
      <c r="F75" s="53"/>
      <c r="G75" s="194"/>
      <c r="H75" s="53"/>
      <c r="I75" s="660"/>
      <c r="J75" s="53"/>
      <c r="K75" s="194"/>
      <c r="L75" s="53"/>
      <c r="M75" s="30"/>
      <c r="N75" s="30"/>
      <c r="O75" s="30"/>
      <c r="P75" s="220"/>
      <c r="Q75" s="920" t="s">
        <v>317</v>
      </c>
      <c r="R75" s="84"/>
      <c r="S75" s="703" t="s">
        <v>661</v>
      </c>
      <c r="T75" s="683"/>
      <c r="U75" s="683"/>
      <c r="V75" s="683"/>
      <c r="W75" s="684"/>
      <c r="X75" s="1259">
        <f>Лист1!A1*9100</f>
        <v>10010</v>
      </c>
      <c r="Y75" s="1260"/>
      <c r="Z75" s="1260"/>
      <c r="AA75" s="1260"/>
      <c r="AB75" s="1260"/>
      <c r="AC75" s="1260"/>
      <c r="AD75" s="1260"/>
      <c r="AE75" s="1260"/>
      <c r="AF75" s="1260"/>
      <c r="AG75" s="1260"/>
      <c r="AH75" s="1261"/>
    </row>
    <row r="76" spans="1:34" ht="18" customHeight="1">
      <c r="A76" s="189"/>
      <c r="B76" s="53"/>
      <c r="C76" s="13"/>
      <c r="D76" s="53"/>
      <c r="E76" s="194"/>
      <c r="F76" s="53"/>
      <c r="G76" s="194"/>
      <c r="H76" s="53"/>
      <c r="I76" s="194"/>
      <c r="J76" s="53"/>
      <c r="K76" s="194"/>
      <c r="L76" s="53"/>
      <c r="M76" s="30"/>
      <c r="N76" s="30"/>
      <c r="O76" s="30"/>
      <c r="P76" s="220"/>
      <c r="Q76" s="920" t="s">
        <v>51</v>
      </c>
      <c r="R76" s="84"/>
      <c r="S76" s="1240" t="s">
        <v>110</v>
      </c>
      <c r="T76" s="1240"/>
      <c r="U76" s="1240"/>
      <c r="V76" s="1240"/>
      <c r="W76" s="1241"/>
      <c r="X76" s="1256" t="s">
        <v>132</v>
      </c>
      <c r="Y76" s="1257"/>
      <c r="Z76" s="1257"/>
      <c r="AA76" s="1257"/>
      <c r="AB76" s="1257"/>
      <c r="AC76" s="1257"/>
      <c r="AD76" s="1257"/>
      <c r="AE76" s="1257"/>
      <c r="AF76" s="1257"/>
      <c r="AG76" s="1257"/>
      <c r="AH76" s="1258"/>
    </row>
    <row r="77" spans="1:34" ht="15" customHeight="1">
      <c r="A77" s="178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212" t="s">
        <v>146</v>
      </c>
      <c r="V77" s="6"/>
      <c r="W77" s="6"/>
      <c r="X77" s="143"/>
      <c r="Y77" s="143"/>
      <c r="Z77" s="144"/>
      <c r="AA77" s="1245" t="s">
        <v>155</v>
      </c>
      <c r="AB77" s="1246"/>
      <c r="AC77" s="1246"/>
      <c r="AD77" s="1246"/>
      <c r="AE77" s="1246"/>
      <c r="AF77" s="1246"/>
      <c r="AG77" s="1246"/>
      <c r="AH77" s="1247"/>
    </row>
    <row r="78" spans="1:34" ht="15">
      <c r="A78" s="178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873">
        <v>1</v>
      </c>
      <c r="T78" s="1253" t="s">
        <v>154</v>
      </c>
      <c r="U78" s="1254"/>
      <c r="V78" s="1254"/>
      <c r="W78" s="1254"/>
      <c r="X78" s="1254"/>
      <c r="Y78" s="1254"/>
      <c r="Z78" s="1255"/>
      <c r="AA78" s="168">
        <f>Лист1!A1*5600</f>
        <v>6160.000000000001</v>
      </c>
      <c r="AB78" s="167">
        <f>Лист1!A1*5600</f>
        <v>6160.000000000001</v>
      </c>
      <c r="AC78" s="167">
        <f>Лист1!A1*6100</f>
        <v>6710.000000000001</v>
      </c>
      <c r="AD78" s="167">
        <f>Лист1!A1*6100</f>
        <v>6710.000000000001</v>
      </c>
      <c r="AE78" s="167">
        <f>Лист1!A1*6600</f>
        <v>7260.000000000001</v>
      </c>
      <c r="AF78" s="167">
        <f>Лист1!A1*6600</f>
        <v>7260.000000000001</v>
      </c>
      <c r="AG78" s="168">
        <f>Лист1!A1*7000</f>
        <v>7700.000000000001</v>
      </c>
      <c r="AH78" s="221">
        <f>Лист1!A1*7000</f>
        <v>7700.000000000001</v>
      </c>
    </row>
    <row r="79" spans="1:34" ht="15">
      <c r="A79" s="178"/>
      <c r="B79" s="6"/>
      <c r="C79" s="6"/>
      <c r="D79" s="6"/>
      <c r="E79" s="6"/>
      <c r="F79" s="6"/>
      <c r="G79" s="6"/>
      <c r="H79" s="6"/>
      <c r="I79" s="6"/>
      <c r="J79" s="6"/>
      <c r="K79" s="222"/>
      <c r="L79" s="6"/>
      <c r="M79" s="6"/>
      <c r="N79" s="6"/>
      <c r="O79" s="6"/>
      <c r="P79" s="6"/>
      <c r="Q79" s="6"/>
      <c r="R79" s="6"/>
      <c r="S79" s="874">
        <v>2</v>
      </c>
      <c r="T79" s="1253" t="s">
        <v>128</v>
      </c>
      <c r="U79" s="1254"/>
      <c r="V79" s="1254"/>
      <c r="W79" s="1254"/>
      <c r="X79" s="1254"/>
      <c r="Y79" s="1254"/>
      <c r="Z79" s="1255"/>
      <c r="AA79" s="168">
        <f>Лист1!A1*46000</f>
        <v>50600.00000000001</v>
      </c>
      <c r="AB79" s="168">
        <f>Лист1!A1*46000</f>
        <v>50600.00000000001</v>
      </c>
      <c r="AC79" s="167">
        <f>Лист1!A1*46800</f>
        <v>51480.00000000001</v>
      </c>
      <c r="AD79" s="167">
        <f>Лист1!A1*46800</f>
        <v>51480.00000000001</v>
      </c>
      <c r="AE79" s="167">
        <f>Лист1!A1*58000</f>
        <v>63800.00000000001</v>
      </c>
      <c r="AF79" s="167">
        <f>Лист1!A1*58000</f>
        <v>63800.00000000001</v>
      </c>
      <c r="AG79" s="168">
        <f>Лист1!A1*68000</f>
        <v>74800</v>
      </c>
      <c r="AH79" s="253">
        <f>Лист1!A1*68000</f>
        <v>74800</v>
      </c>
    </row>
    <row r="80" spans="1:35" ht="15">
      <c r="A80" s="178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874">
        <v>3</v>
      </c>
      <c r="T80" s="1253" t="s">
        <v>147</v>
      </c>
      <c r="U80" s="1254"/>
      <c r="V80" s="1254"/>
      <c r="W80" s="1254"/>
      <c r="X80" s="1254"/>
      <c r="Y80" s="1254"/>
      <c r="Z80" s="1255"/>
      <c r="AA80" s="168">
        <f>SUM(AA78:AA79)</f>
        <v>56760.00000000001</v>
      </c>
      <c r="AB80" s="168">
        <f aca="true" t="shared" si="1" ref="AB80:AH80">SUM(AB78:AB79)</f>
        <v>56760.00000000001</v>
      </c>
      <c r="AC80" s="168">
        <f t="shared" si="1"/>
        <v>58190.00000000001</v>
      </c>
      <c r="AD80" s="168">
        <f t="shared" si="1"/>
        <v>58190.00000000001</v>
      </c>
      <c r="AE80" s="168">
        <f t="shared" si="1"/>
        <v>71060.00000000001</v>
      </c>
      <c r="AF80" s="168">
        <f t="shared" si="1"/>
        <v>71060.00000000001</v>
      </c>
      <c r="AG80" s="168">
        <f t="shared" si="1"/>
        <v>82500</v>
      </c>
      <c r="AH80" s="221">
        <f t="shared" si="1"/>
        <v>82500</v>
      </c>
      <c r="AI80" s="427"/>
    </row>
    <row r="81" spans="1:35" ht="14.25" customHeight="1">
      <c r="A81" s="178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477">
        <v>8</v>
      </c>
      <c r="T81" s="1253" t="s">
        <v>111</v>
      </c>
      <c r="U81" s="1254"/>
      <c r="V81" s="1254"/>
      <c r="W81" s="1254"/>
      <c r="X81" s="1254"/>
      <c r="Y81" s="1254"/>
      <c r="Z81" s="1255"/>
      <c r="AA81" s="168">
        <f>Лист1!A1*26000</f>
        <v>28600.000000000004</v>
      </c>
      <c r="AB81" s="168">
        <f>Лист1!A1*26000</f>
        <v>28600.000000000004</v>
      </c>
      <c r="AC81" s="168">
        <f>Лист1!A1*27000</f>
        <v>29700.000000000004</v>
      </c>
      <c r="AD81" s="168">
        <f>Лист1!A1*27000</f>
        <v>29700.000000000004</v>
      </c>
      <c r="AE81" s="168">
        <f>Лист1!A1*38700</f>
        <v>42570</v>
      </c>
      <c r="AF81" s="168">
        <f>Лист1!A1*38700</f>
        <v>42570</v>
      </c>
      <c r="AG81" s="168">
        <f>Лист1!A1*48750</f>
        <v>53625.00000000001</v>
      </c>
      <c r="AH81" s="221">
        <f>Лист1!A1*48750</f>
        <v>53625.00000000001</v>
      </c>
      <c r="AI81" s="427"/>
    </row>
    <row r="82" spans="1:34" ht="13.5" customHeight="1">
      <c r="A82" s="192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249" t="s">
        <v>131</v>
      </c>
      <c r="Y82" s="1249"/>
      <c r="Z82" s="1249"/>
      <c r="AA82" s="1249"/>
      <c r="AB82" s="1249"/>
      <c r="AC82" s="1249"/>
      <c r="AD82" s="1249"/>
      <c r="AE82" s="1249"/>
      <c r="AF82" s="1249"/>
      <c r="AG82" s="1249"/>
      <c r="AH82" s="1250"/>
    </row>
    <row r="83" spans="1:34" ht="15">
      <c r="A83" s="192"/>
      <c r="B83" s="13"/>
      <c r="C83" s="13"/>
      <c r="D83" s="13"/>
      <c r="E83" s="157" t="s">
        <v>134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87" t="s">
        <v>112</v>
      </c>
      <c r="X83" s="145" t="s">
        <v>52</v>
      </c>
      <c r="Y83" s="145" t="s">
        <v>52</v>
      </c>
      <c r="Z83" s="145" t="s">
        <v>53</v>
      </c>
      <c r="AA83" s="145" t="s">
        <v>54</v>
      </c>
      <c r="AB83" s="145" t="s">
        <v>55</v>
      </c>
      <c r="AC83" s="145" t="s">
        <v>56</v>
      </c>
      <c r="AD83" s="146"/>
      <c r="AE83" s="147"/>
      <c r="AF83" s="147" t="s">
        <v>36</v>
      </c>
      <c r="AG83" s="147"/>
      <c r="AH83" s="223"/>
    </row>
    <row r="84" spans="1:34" ht="11.25" customHeight="1">
      <c r="A84" s="921" t="s">
        <v>12</v>
      </c>
      <c r="B84" s="89"/>
      <c r="C84" s="922" t="s">
        <v>32</v>
      </c>
      <c r="D84" s="89"/>
      <c r="E84" s="922">
        <v>5</v>
      </c>
      <c r="F84" s="89"/>
      <c r="G84" s="923">
        <v>1</v>
      </c>
      <c r="H84" s="89"/>
      <c r="I84" s="922">
        <v>1</v>
      </c>
      <c r="J84" s="205" t="s">
        <v>36</v>
      </c>
      <c r="K84" s="922">
        <v>5</v>
      </c>
      <c r="L84" s="89"/>
      <c r="M84" s="922">
        <v>1</v>
      </c>
      <c r="N84" s="224"/>
      <c r="O84" s="922">
        <v>1</v>
      </c>
      <c r="P84" s="88"/>
      <c r="Q84" s="924" t="s">
        <v>46</v>
      </c>
      <c r="R84" s="16"/>
      <c r="S84" s="924">
        <v>3</v>
      </c>
      <c r="T84" s="225" t="s">
        <v>36</v>
      </c>
      <c r="U84" s="857" t="s">
        <v>57</v>
      </c>
      <c r="V84" s="226"/>
      <c r="W84" s="87" t="s">
        <v>113</v>
      </c>
      <c r="X84" s="145" t="s">
        <v>58</v>
      </c>
      <c r="Y84" s="145" t="s">
        <v>58</v>
      </c>
      <c r="Z84" s="145" t="s">
        <v>59</v>
      </c>
      <c r="AA84" s="145" t="s">
        <v>60</v>
      </c>
      <c r="AB84" s="145" t="s">
        <v>61</v>
      </c>
      <c r="AC84" s="145" t="s">
        <v>62</v>
      </c>
      <c r="AD84" s="145" t="s">
        <v>63</v>
      </c>
      <c r="AE84" s="145" t="s">
        <v>64</v>
      </c>
      <c r="AF84" s="145" t="s">
        <v>65</v>
      </c>
      <c r="AG84" s="145" t="s">
        <v>66</v>
      </c>
      <c r="AH84" s="227" t="s">
        <v>67</v>
      </c>
    </row>
    <row r="85" spans="1:34" ht="15">
      <c r="A85" s="228"/>
      <c r="B85" s="89"/>
      <c r="C85" s="90"/>
      <c r="D85" s="89"/>
      <c r="E85" s="91"/>
      <c r="F85" s="89"/>
      <c r="G85" s="91"/>
      <c r="H85" s="89"/>
      <c r="I85" s="91"/>
      <c r="J85" s="89"/>
      <c r="K85" s="92"/>
      <c r="L85" s="13"/>
      <c r="M85" s="13"/>
      <c r="N85" s="13"/>
      <c r="O85" s="13"/>
      <c r="P85" s="93"/>
      <c r="Q85" s="92"/>
      <c r="R85" s="94"/>
      <c r="S85" s="13"/>
      <c r="T85" s="6"/>
      <c r="U85" s="95"/>
      <c r="V85" s="6"/>
      <c r="W85" s="6"/>
      <c r="X85" s="103"/>
      <c r="Y85" s="103"/>
      <c r="Z85" s="103"/>
      <c r="AA85" s="104"/>
      <c r="AB85" s="190"/>
      <c r="AC85" s="190"/>
      <c r="AD85" s="190"/>
      <c r="AE85" s="190"/>
      <c r="AF85" s="190"/>
      <c r="AG85" s="190"/>
      <c r="AH85" s="229"/>
    </row>
    <row r="86" spans="1:34" ht="15">
      <c r="A86" s="230"/>
      <c r="B86" s="89"/>
      <c r="C86" s="231"/>
      <c r="D86" s="89"/>
      <c r="E86" s="91"/>
      <c r="F86" s="89"/>
      <c r="G86" s="91"/>
      <c r="H86" s="89"/>
      <c r="I86" s="91"/>
      <c r="J86" s="89"/>
      <c r="K86" s="92"/>
      <c r="L86" s="13"/>
      <c r="M86" s="13"/>
      <c r="N86" s="13"/>
      <c r="O86" s="13"/>
      <c r="P86" s="93"/>
      <c r="Q86" s="92"/>
      <c r="R86" s="94"/>
      <c r="S86" s="13"/>
      <c r="T86" s="226"/>
      <c r="U86" s="96"/>
      <c r="V86" s="212" t="s">
        <v>151</v>
      </c>
      <c r="W86" s="6"/>
      <c r="X86" s="103"/>
      <c r="Y86" s="232"/>
      <c r="Z86" s="103"/>
      <c r="AA86" s="104"/>
      <c r="AB86" s="190"/>
      <c r="AC86" s="190"/>
      <c r="AD86" s="190"/>
      <c r="AE86" s="190"/>
      <c r="AF86" s="190"/>
      <c r="AG86" s="190"/>
      <c r="AH86" s="229"/>
    </row>
    <row r="87" spans="1:34" ht="15">
      <c r="A87" s="178"/>
      <c r="B87" s="6"/>
      <c r="C87" s="6"/>
      <c r="D87" s="6"/>
      <c r="E87" s="6"/>
      <c r="F87" s="6"/>
      <c r="G87" s="6"/>
      <c r="H87" s="6"/>
      <c r="I87" s="6"/>
      <c r="J87" s="6"/>
      <c r="K87" s="92"/>
      <c r="L87" s="13"/>
      <c r="M87" s="13"/>
      <c r="N87" s="13"/>
      <c r="O87" s="13"/>
      <c r="P87" s="93"/>
      <c r="Q87" s="92"/>
      <c r="R87" s="94"/>
      <c r="S87" s="13"/>
      <c r="T87" s="226" t="s">
        <v>36</v>
      </c>
      <c r="U87" s="857" t="s">
        <v>57</v>
      </c>
      <c r="V87" s="1251" t="s">
        <v>129</v>
      </c>
      <c r="W87" s="1252"/>
      <c r="X87" s="1252"/>
      <c r="Y87" s="1252"/>
      <c r="Z87" s="1252"/>
      <c r="AA87" s="104"/>
      <c r="AB87" s="190"/>
      <c r="AC87" s="190"/>
      <c r="AD87" s="190"/>
      <c r="AE87" s="190"/>
      <c r="AF87" s="190"/>
      <c r="AG87" s="190"/>
      <c r="AH87" s="229"/>
    </row>
    <row r="88" spans="1:34" ht="7.5" customHeight="1">
      <c r="A88" s="233"/>
      <c r="B88" s="222"/>
      <c r="C88" s="222"/>
      <c r="D88" s="222"/>
      <c r="E88" s="222"/>
      <c r="F88" s="222"/>
      <c r="G88" s="222"/>
      <c r="H88" s="222"/>
      <c r="I88" s="222"/>
      <c r="J88" s="222"/>
      <c r="K88" s="92"/>
      <c r="L88" s="13"/>
      <c r="M88" s="13"/>
      <c r="N88" s="13"/>
      <c r="O88" s="13"/>
      <c r="P88" s="93"/>
      <c r="Q88" s="92"/>
      <c r="R88" s="94"/>
      <c r="S88" s="13"/>
      <c r="T88" s="226" t="s">
        <v>36</v>
      </c>
      <c r="U88" s="925" t="s">
        <v>68</v>
      </c>
      <c r="V88" s="1251" t="s">
        <v>130</v>
      </c>
      <c r="W88" s="1252"/>
      <c r="X88" s="1252"/>
      <c r="Y88" s="1252"/>
      <c r="Z88" s="1252"/>
      <c r="AA88" s="104"/>
      <c r="AB88" s="104"/>
      <c r="AC88" s="104"/>
      <c r="AD88" s="104"/>
      <c r="AE88" s="104"/>
      <c r="AF88" s="104"/>
      <c r="AG88" s="104"/>
      <c r="AH88" s="186"/>
    </row>
    <row r="89" spans="1:34" ht="15">
      <c r="A89" s="233"/>
      <c r="B89" s="222"/>
      <c r="C89" s="222"/>
      <c r="D89" s="222"/>
      <c r="E89" s="222"/>
      <c r="F89" s="222"/>
      <c r="G89" s="222"/>
      <c r="H89" s="222"/>
      <c r="I89" s="222"/>
      <c r="J89" s="222"/>
      <c r="K89" s="92"/>
      <c r="L89" s="13"/>
      <c r="M89" s="13"/>
      <c r="N89" s="13"/>
      <c r="O89" s="13"/>
      <c r="P89" s="93"/>
      <c r="Q89" s="92"/>
      <c r="R89" s="222"/>
      <c r="S89" s="13"/>
      <c r="T89" s="222"/>
      <c r="U89" s="222"/>
      <c r="V89" s="222"/>
      <c r="W89" s="222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234"/>
    </row>
    <row r="90" spans="1:34" ht="13.5" customHeight="1">
      <c r="A90" s="233"/>
      <c r="B90" s="222"/>
      <c r="C90" s="235"/>
      <c r="D90" s="222"/>
      <c r="E90" s="222"/>
      <c r="F90" s="222"/>
      <c r="G90" s="222"/>
      <c r="H90" s="222"/>
      <c r="I90" s="222"/>
      <c r="J90" s="222"/>
      <c r="K90" s="245" t="s">
        <v>141</v>
      </c>
      <c r="L90" s="246"/>
      <c r="M90" s="247"/>
      <c r="N90" s="246"/>
      <c r="O90" s="247"/>
      <c r="P90" s="247"/>
      <c r="Q90" s="13"/>
      <c r="R90" s="247"/>
      <c r="S90" s="247"/>
      <c r="T90" s="34"/>
      <c r="U90" s="34"/>
      <c r="V90" s="34"/>
      <c r="W90" s="34"/>
      <c r="X90" s="248"/>
      <c r="Y90" s="249"/>
      <c r="Z90" s="249"/>
      <c r="AA90" s="249"/>
      <c r="AB90" s="249"/>
      <c r="AC90" s="249"/>
      <c r="AD90" s="249"/>
      <c r="AE90" s="249"/>
      <c r="AF90" s="148"/>
      <c r="AG90" s="149"/>
      <c r="AH90" s="236"/>
    </row>
    <row r="91" spans="1:34" ht="6.75" customHeight="1">
      <c r="A91" s="250"/>
      <c r="B91" s="235"/>
      <c r="C91" s="235"/>
      <c r="D91" s="235"/>
      <c r="E91" s="235"/>
      <c r="F91" s="235"/>
      <c r="G91" s="235"/>
      <c r="H91" s="235"/>
      <c r="I91" s="235"/>
      <c r="J91" s="235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13"/>
      <c r="W91" s="13"/>
      <c r="X91" s="184"/>
      <c r="Y91" s="184"/>
      <c r="Z91" s="184"/>
      <c r="AA91" s="102"/>
      <c r="AB91" s="185"/>
      <c r="AC91" s="185"/>
      <c r="AD91" s="185"/>
      <c r="AE91" s="185"/>
      <c r="AF91" s="185"/>
      <c r="AG91" s="185"/>
      <c r="AH91" s="251"/>
    </row>
    <row r="92" spans="1:34" ht="15">
      <c r="A92" s="250"/>
      <c r="B92" s="235"/>
      <c r="C92" s="235"/>
      <c r="D92" s="235"/>
      <c r="E92" s="235"/>
      <c r="F92" s="235"/>
      <c r="G92" s="235"/>
      <c r="H92" s="235"/>
      <c r="I92" s="235"/>
      <c r="J92" s="235"/>
      <c r="K92" s="6" t="s">
        <v>162</v>
      </c>
      <c r="L92" s="6"/>
      <c r="M92" s="6"/>
      <c r="N92" s="6"/>
      <c r="O92" s="6"/>
      <c r="P92" s="6"/>
      <c r="Q92" s="6"/>
      <c r="R92" s="6"/>
      <c r="S92" s="6"/>
      <c r="T92" s="6"/>
      <c r="U92" s="6"/>
      <c r="V92" s="13"/>
      <c r="W92" s="13"/>
      <c r="X92" s="184"/>
      <c r="Y92" s="184"/>
      <c r="Z92" s="184"/>
      <c r="AA92" s="102"/>
      <c r="AB92" s="185"/>
      <c r="AC92" s="185"/>
      <c r="AD92" s="185"/>
      <c r="AE92" s="185"/>
      <c r="AF92" s="185"/>
      <c r="AG92" s="185"/>
      <c r="AH92" s="251"/>
    </row>
    <row r="93" spans="1:34" ht="7.5" customHeight="1" thickBot="1">
      <c r="A93" s="237"/>
      <c r="B93" s="238"/>
      <c r="C93" s="238"/>
      <c r="D93" s="238"/>
      <c r="E93" s="238"/>
      <c r="F93" s="238"/>
      <c r="G93" s="238"/>
      <c r="H93" s="238"/>
      <c r="I93" s="238"/>
      <c r="J93" s="238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40"/>
      <c r="W93" s="240"/>
      <c r="X93" s="241"/>
      <c r="Y93" s="241"/>
      <c r="Z93" s="241"/>
      <c r="AA93" s="242"/>
      <c r="AB93" s="243"/>
      <c r="AC93" s="243"/>
      <c r="AD93" s="243"/>
      <c r="AE93" s="243"/>
      <c r="AF93" s="243"/>
      <c r="AG93" s="243"/>
      <c r="AH93" s="244"/>
    </row>
    <row r="94" spans="1:34" ht="1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</row>
    <row r="98" ht="15">
      <c r="AE98" s="760"/>
    </row>
    <row r="99" ht="15">
      <c r="AD99" s="760"/>
    </row>
  </sheetData>
  <sheetProtection password="C651" sheet="1"/>
  <mergeCells count="109">
    <mergeCell ref="C71:P71"/>
    <mergeCell ref="X73:AH73"/>
    <mergeCell ref="X72:AH72"/>
    <mergeCell ref="X48:AH48"/>
    <mergeCell ref="O52:W52"/>
    <mergeCell ref="X65:AH65"/>
    <mergeCell ref="S66:W66"/>
    <mergeCell ref="X66:AH66"/>
    <mergeCell ref="X57:AH57"/>
    <mergeCell ref="Q58:W58"/>
    <mergeCell ref="X61:AH61"/>
    <mergeCell ref="X60:AH60"/>
    <mergeCell ref="S63:W63"/>
    <mergeCell ref="X68:AH68"/>
    <mergeCell ref="S62:W62"/>
    <mergeCell ref="S64:W64"/>
    <mergeCell ref="S65:W65"/>
    <mergeCell ref="S74:W74"/>
    <mergeCell ref="X74:AH74"/>
    <mergeCell ref="S76:W76"/>
    <mergeCell ref="X76:AH76"/>
    <mergeCell ref="X75:AH75"/>
    <mergeCell ref="S68:W68"/>
    <mergeCell ref="AA77:AH77"/>
    <mergeCell ref="C69:P69"/>
    <mergeCell ref="X70:AH70"/>
    <mergeCell ref="X82:AH82"/>
    <mergeCell ref="V88:Z88"/>
    <mergeCell ref="T78:Z78"/>
    <mergeCell ref="T79:Z79"/>
    <mergeCell ref="T80:Z80"/>
    <mergeCell ref="T81:Z81"/>
    <mergeCell ref="V87:Z87"/>
    <mergeCell ref="G27:W27"/>
    <mergeCell ref="S3:Z3"/>
    <mergeCell ref="S72:W72"/>
    <mergeCell ref="S69:W69"/>
    <mergeCell ref="X69:AH69"/>
    <mergeCell ref="S71:W71"/>
    <mergeCell ref="X71:AH71"/>
    <mergeCell ref="Q59:W59"/>
    <mergeCell ref="X59:AH59"/>
    <mergeCell ref="S70:W70"/>
    <mergeCell ref="X41:AH41"/>
    <mergeCell ref="C8:R8"/>
    <mergeCell ref="C9:R9"/>
    <mergeCell ref="O51:W51"/>
    <mergeCell ref="C10:R10"/>
    <mergeCell ref="V8:W8"/>
    <mergeCell ref="X39:AH39"/>
    <mergeCell ref="X45:AH45"/>
    <mergeCell ref="O47:W47"/>
    <mergeCell ref="X47:AH47"/>
    <mergeCell ref="C73:P73"/>
    <mergeCell ref="X44:AE44"/>
    <mergeCell ref="O53:W53"/>
    <mergeCell ref="Q56:W56"/>
    <mergeCell ref="X56:AH56"/>
    <mergeCell ref="Q57:W57"/>
    <mergeCell ref="O49:W49"/>
    <mergeCell ref="A48:J50"/>
    <mergeCell ref="X58:AH58"/>
    <mergeCell ref="X62:AH62"/>
    <mergeCell ref="S5:U5"/>
    <mergeCell ref="C11:R11"/>
    <mergeCell ref="C5:R5"/>
    <mergeCell ref="C6:R6"/>
    <mergeCell ref="C7:R7"/>
    <mergeCell ref="M43:W43"/>
    <mergeCell ref="E18:W18"/>
    <mergeCell ref="E19:W19"/>
    <mergeCell ref="E21:W21"/>
    <mergeCell ref="E23:W23"/>
    <mergeCell ref="X54:AH54"/>
    <mergeCell ref="X43:AH43"/>
    <mergeCell ref="E24:W24"/>
    <mergeCell ref="G29:W29"/>
    <mergeCell ref="G28:W28"/>
    <mergeCell ref="I36:R36"/>
    <mergeCell ref="X31:Y31"/>
    <mergeCell ref="O50:W50"/>
    <mergeCell ref="X38:AH38"/>
    <mergeCell ref="K40:W40"/>
    <mergeCell ref="K39:W39"/>
    <mergeCell ref="C13:R13"/>
    <mergeCell ref="C15:R15"/>
    <mergeCell ref="C16:R16"/>
    <mergeCell ref="X34:AH34"/>
    <mergeCell ref="X35:AH35"/>
    <mergeCell ref="I34:W34"/>
    <mergeCell ref="I35:W35"/>
    <mergeCell ref="G32:W32"/>
    <mergeCell ref="G31:W31"/>
    <mergeCell ref="O48:W48"/>
    <mergeCell ref="S61:W61"/>
    <mergeCell ref="M44:W44"/>
    <mergeCell ref="K41:W41"/>
    <mergeCell ref="O54:W54"/>
    <mergeCell ref="M45:W45"/>
    <mergeCell ref="X27:AH27"/>
    <mergeCell ref="X28:Y28"/>
    <mergeCell ref="S67:W67"/>
    <mergeCell ref="C67:O67"/>
    <mergeCell ref="X67:AH67"/>
    <mergeCell ref="X29:AH29"/>
    <mergeCell ref="G30:W30"/>
    <mergeCell ref="X30:AH30"/>
    <mergeCell ref="A56:L56"/>
    <mergeCell ref="K38:W38"/>
  </mergeCells>
  <hyperlinks>
    <hyperlink ref="AE2" r:id="rId1" display="http://darkont.ru"/>
    <hyperlink ref="AE3" r:id="rId2" display="http://trimec.ru"/>
  </hyperlinks>
  <printOptions/>
  <pageMargins left="0.3937007874015748" right="0" top="0.3937007874015748" bottom="0.3937007874015748" header="0" footer="0"/>
  <pageSetup fitToHeight="1" fitToWidth="1" horizontalDpi="180" verticalDpi="180" orientation="portrait" paperSize="9" scale="5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79"/>
  <sheetViews>
    <sheetView showGridLines="0" zoomScalePageLayoutView="0" workbookViewId="0" topLeftCell="A4">
      <selection activeCell="AC17" sqref="AC17"/>
    </sheetView>
  </sheetViews>
  <sheetFormatPr defaultColWidth="9.140625" defaultRowHeight="15"/>
  <cols>
    <col min="1" max="1" width="6.00390625" style="0" customWidth="1"/>
    <col min="2" max="2" width="0.71875" style="0" customWidth="1"/>
    <col min="3" max="3" width="2.8515625" style="0" customWidth="1"/>
    <col min="4" max="4" width="0.42578125" style="0" customWidth="1"/>
    <col min="5" max="5" width="3.140625" style="0" customWidth="1"/>
    <col min="6" max="6" width="0.71875" style="0" customWidth="1"/>
    <col min="7" max="7" width="3.140625" style="0" customWidth="1"/>
    <col min="8" max="8" width="0.71875" style="0" customWidth="1"/>
    <col min="9" max="9" width="2.7109375" style="0" customWidth="1"/>
    <col min="10" max="10" width="0.5625" style="0" customWidth="1"/>
    <col min="11" max="11" width="2.7109375" style="0" customWidth="1"/>
    <col min="12" max="12" width="0.5625" style="0" customWidth="1"/>
    <col min="13" max="13" width="2.57421875" style="0" customWidth="1"/>
    <col min="14" max="14" width="0.5625" style="0" customWidth="1"/>
    <col min="15" max="15" width="2.57421875" style="0" customWidth="1"/>
    <col min="16" max="16" width="1.57421875" style="0" customWidth="1"/>
    <col min="17" max="17" width="3.7109375" style="0" customWidth="1"/>
    <col min="18" max="18" width="0.5625" style="0" customWidth="1"/>
    <col min="19" max="19" width="3.421875" style="0" customWidth="1"/>
    <col min="20" max="20" width="0.85546875" style="0" customWidth="1"/>
    <col min="21" max="21" width="4.8515625" style="0" customWidth="1"/>
    <col min="22" max="22" width="1.57421875" style="0" customWidth="1"/>
    <col min="23" max="23" width="4.8515625" style="0" customWidth="1"/>
    <col min="25" max="25" width="36.57421875" style="0" customWidth="1"/>
    <col min="26" max="28" width="5.57421875" style="0" customWidth="1"/>
    <col min="29" max="29" width="6.140625" style="0" customWidth="1"/>
    <col min="30" max="31" width="6.28125" style="0" customWidth="1"/>
    <col min="32" max="32" width="6.140625" style="0" customWidth="1"/>
    <col min="33" max="33" width="6.28125" style="0" customWidth="1"/>
    <col min="34" max="34" width="6.7109375" style="0" customWidth="1"/>
    <col min="35" max="35" width="0.85546875" style="0" customWidth="1"/>
  </cols>
  <sheetData>
    <row r="1" spans="1:35" ht="15" customHeight="1">
      <c r="A1" s="883"/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926"/>
      <c r="R1" s="926"/>
      <c r="S1" s="926"/>
      <c r="T1" s="926"/>
      <c r="U1" s="926"/>
      <c r="V1" s="926"/>
      <c r="W1" s="926"/>
      <c r="X1" s="816"/>
      <c r="Y1" s="816"/>
      <c r="Z1" s="927"/>
      <c r="AA1" s="816"/>
      <c r="AB1" s="816"/>
      <c r="AC1" s="928"/>
      <c r="AD1" s="928"/>
      <c r="AE1" s="821" t="s">
        <v>152</v>
      </c>
      <c r="AF1" s="928"/>
      <c r="AG1" s="928"/>
      <c r="AH1" s="928"/>
      <c r="AI1" s="929"/>
    </row>
    <row r="2" spans="1:35" ht="15.75" customHeight="1">
      <c r="A2" s="892"/>
      <c r="B2" s="480"/>
      <c r="C2" s="480"/>
      <c r="D2" s="480"/>
      <c r="E2" s="480"/>
      <c r="F2" s="480"/>
      <c r="G2" s="1266" t="s">
        <v>166</v>
      </c>
      <c r="H2" s="1266"/>
      <c r="I2" s="1266"/>
      <c r="J2" s="1266"/>
      <c r="K2" s="1266"/>
      <c r="L2" s="1266"/>
      <c r="M2" s="1266"/>
      <c r="N2" s="1266"/>
      <c r="O2" s="1266"/>
      <c r="P2" s="1266"/>
      <c r="Q2" s="1266"/>
      <c r="R2" s="1266"/>
      <c r="S2" s="1266"/>
      <c r="T2" s="1266"/>
      <c r="U2" s="1266"/>
      <c r="V2" s="1266"/>
      <c r="W2" s="1266"/>
      <c r="X2" s="1266"/>
      <c r="Y2" s="1266"/>
      <c r="Z2" s="1266"/>
      <c r="AA2" s="1266"/>
      <c r="AB2" s="1266"/>
      <c r="AC2" s="1266"/>
      <c r="AD2" s="480"/>
      <c r="AE2" s="818" t="s">
        <v>165</v>
      </c>
      <c r="AF2" s="480"/>
      <c r="AG2" s="480"/>
      <c r="AH2" s="480"/>
      <c r="AI2" s="930"/>
    </row>
    <row r="3" spans="1:35" ht="14.25" customHeight="1">
      <c r="A3" s="892"/>
      <c r="B3" s="480"/>
      <c r="C3" s="480"/>
      <c r="D3" s="480"/>
      <c r="E3" s="480"/>
      <c r="F3" s="480"/>
      <c r="G3" s="1237" t="s">
        <v>235</v>
      </c>
      <c r="H3" s="1237"/>
      <c r="I3" s="1237"/>
      <c r="J3" s="1237"/>
      <c r="K3" s="1237"/>
      <c r="L3" s="1237"/>
      <c r="M3" s="1237"/>
      <c r="N3" s="1237"/>
      <c r="O3" s="1237"/>
      <c r="P3" s="1237"/>
      <c r="Q3" s="1237"/>
      <c r="R3" s="1237"/>
      <c r="S3" s="1237"/>
      <c r="T3" s="1237"/>
      <c r="U3" s="1237"/>
      <c r="V3" s="1237"/>
      <c r="W3" s="1237"/>
      <c r="X3" s="1237"/>
      <c r="Y3" s="1237"/>
      <c r="Z3" s="1237"/>
      <c r="AA3" s="1237"/>
      <c r="AB3" s="1237"/>
      <c r="AC3" s="1237"/>
      <c r="AD3" s="1237"/>
      <c r="AE3" s="963" t="s">
        <v>624</v>
      </c>
      <c r="AF3" s="480"/>
      <c r="AG3" s="480"/>
      <c r="AH3" s="480"/>
      <c r="AI3" s="930"/>
    </row>
    <row r="4" spans="1:35" ht="10.5" customHeight="1">
      <c r="A4" s="254"/>
      <c r="B4" s="255"/>
      <c r="C4" s="256" t="s">
        <v>153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7"/>
      <c r="O4" s="255"/>
      <c r="P4" s="255"/>
      <c r="Q4" s="258"/>
      <c r="R4" s="258"/>
      <c r="S4" s="258"/>
      <c r="T4" s="258"/>
      <c r="U4" s="258"/>
      <c r="V4" s="258"/>
      <c r="W4" s="258"/>
      <c r="X4" s="259"/>
      <c r="Y4" s="259"/>
      <c r="Z4" s="259"/>
      <c r="AA4" s="259"/>
      <c r="AB4" s="259"/>
      <c r="AC4" s="259"/>
      <c r="AD4" s="259"/>
      <c r="AE4" s="255"/>
      <c r="AF4" s="260"/>
      <c r="AG4" s="260"/>
      <c r="AH4" s="260"/>
      <c r="AI4" s="261"/>
    </row>
    <row r="5" spans="1:35" ht="15">
      <c r="A5" s="897" t="s">
        <v>9</v>
      </c>
      <c r="B5" s="2"/>
      <c r="C5" s="7" t="s">
        <v>167</v>
      </c>
      <c r="D5" s="262"/>
      <c r="E5" s="262"/>
      <c r="F5" s="262"/>
      <c r="G5" s="263"/>
      <c r="H5" s="262"/>
      <c r="I5" s="262"/>
      <c r="J5" s="262"/>
      <c r="K5" s="3"/>
      <c r="L5" s="262"/>
      <c r="M5" s="2"/>
      <c r="N5" s="262"/>
      <c r="O5" s="263"/>
      <c r="P5" s="264"/>
      <c r="Q5" s="3"/>
      <c r="R5" s="8"/>
      <c r="S5" s="8"/>
      <c r="T5" s="8"/>
      <c r="U5" s="262" t="s">
        <v>10</v>
      </c>
      <c r="V5" s="8"/>
      <c r="W5" s="3"/>
      <c r="X5" s="3"/>
      <c r="Y5" s="743" t="s">
        <v>117</v>
      </c>
      <c r="Z5" s="931" t="s">
        <v>11</v>
      </c>
      <c r="AA5" s="742"/>
      <c r="AB5" s="181"/>
      <c r="AC5" s="181"/>
      <c r="AD5" s="181"/>
      <c r="AE5" s="6"/>
      <c r="AF5" s="265"/>
      <c r="AG5" s="265"/>
      <c r="AH5" s="265"/>
      <c r="AI5" s="266"/>
    </row>
    <row r="6" spans="1:35" ht="15">
      <c r="A6" s="899" t="s">
        <v>12</v>
      </c>
      <c r="B6" s="2"/>
      <c r="C6" s="7" t="s">
        <v>168</v>
      </c>
      <c r="D6" s="262"/>
      <c r="E6" s="262"/>
      <c r="F6" s="262"/>
      <c r="G6" s="263"/>
      <c r="H6" s="262"/>
      <c r="I6" s="262"/>
      <c r="J6" s="262"/>
      <c r="K6" s="3"/>
      <c r="L6" s="262"/>
      <c r="M6" s="2"/>
      <c r="N6" s="262"/>
      <c r="O6" s="263"/>
      <c r="P6" s="264"/>
      <c r="Q6" s="3"/>
      <c r="R6" s="8"/>
      <c r="S6" s="8"/>
      <c r="T6" s="8"/>
      <c r="U6" s="262" t="s">
        <v>13</v>
      </c>
      <c r="V6" s="8"/>
      <c r="W6" s="3"/>
      <c r="X6" s="3"/>
      <c r="Y6" s="7" t="s">
        <v>118</v>
      </c>
      <c r="Z6" s="267"/>
      <c r="AA6" s="931" t="s">
        <v>14</v>
      </c>
      <c r="AB6" s="741"/>
      <c r="AC6" s="268"/>
      <c r="AD6" s="268"/>
      <c r="AE6" s="268"/>
      <c r="AF6" s="268"/>
      <c r="AG6" s="268"/>
      <c r="AH6" s="268"/>
      <c r="AI6" s="266"/>
    </row>
    <row r="7" spans="1:35" ht="15">
      <c r="A7" s="899" t="s">
        <v>15</v>
      </c>
      <c r="B7" s="2"/>
      <c r="C7" s="7" t="s">
        <v>74</v>
      </c>
      <c r="D7" s="262"/>
      <c r="E7" s="262"/>
      <c r="F7" s="262"/>
      <c r="G7" s="263"/>
      <c r="H7" s="262"/>
      <c r="I7" s="262"/>
      <c r="J7" s="262"/>
      <c r="K7" s="3"/>
      <c r="L7" s="269"/>
      <c r="M7" s="2"/>
      <c r="N7" s="270"/>
      <c r="O7" s="263"/>
      <c r="P7" s="269"/>
      <c r="Q7" s="3"/>
      <c r="R7" s="3"/>
      <c r="S7" s="3"/>
      <c r="T7" s="3"/>
      <c r="U7" s="262" t="s">
        <v>16</v>
      </c>
      <c r="V7" s="3"/>
      <c r="W7" s="3"/>
      <c r="X7" s="3"/>
      <c r="Y7" s="99" t="s">
        <v>119</v>
      </c>
      <c r="Z7" s="271"/>
      <c r="AA7" s="272"/>
      <c r="AB7" s="931" t="s">
        <v>17</v>
      </c>
      <c r="AC7" s="741"/>
      <c r="AD7" s="23"/>
      <c r="AE7" s="268"/>
      <c r="AF7" s="268"/>
      <c r="AG7" s="268"/>
      <c r="AH7" s="268"/>
      <c r="AI7" s="266"/>
    </row>
    <row r="8" spans="1:35" ht="15">
      <c r="A8" s="898" t="s">
        <v>18</v>
      </c>
      <c r="B8" s="9"/>
      <c r="C8" s="252" t="s">
        <v>169</v>
      </c>
      <c r="D8" s="270"/>
      <c r="E8" s="270"/>
      <c r="F8" s="270"/>
      <c r="G8" s="263"/>
      <c r="H8" s="270"/>
      <c r="I8" s="270"/>
      <c r="J8" s="270"/>
      <c r="K8" s="3"/>
      <c r="L8" s="273"/>
      <c r="M8" s="2"/>
      <c r="N8" s="270"/>
      <c r="O8" s="263"/>
      <c r="P8" s="273"/>
      <c r="Q8" s="3"/>
      <c r="R8" s="3"/>
      <c r="S8" s="3"/>
      <c r="T8" s="3"/>
      <c r="U8" s="270" t="s">
        <v>19</v>
      </c>
      <c r="V8" s="3"/>
      <c r="W8" s="3"/>
      <c r="X8" s="3"/>
      <c r="Y8" s="99" t="s">
        <v>120</v>
      </c>
      <c r="Z8" s="274"/>
      <c r="AA8" s="275"/>
      <c r="AB8" s="276"/>
      <c r="AC8" s="932" t="s">
        <v>20</v>
      </c>
      <c r="AD8" s="741"/>
      <c r="AE8" s="277"/>
      <c r="AF8" s="268"/>
      <c r="AG8" s="268"/>
      <c r="AH8" s="268"/>
      <c r="AI8" s="266"/>
    </row>
    <row r="9" spans="1:35" ht="15">
      <c r="A9" s="899" t="s">
        <v>18</v>
      </c>
      <c r="B9" s="9"/>
      <c r="C9" s="252" t="s">
        <v>170</v>
      </c>
      <c r="D9" s="270"/>
      <c r="E9" s="270"/>
      <c r="F9" s="270"/>
      <c r="G9" s="263"/>
      <c r="H9" s="270"/>
      <c r="I9" s="270"/>
      <c r="J9" s="270"/>
      <c r="K9" s="3"/>
      <c r="L9" s="273"/>
      <c r="M9" s="2"/>
      <c r="N9" s="270"/>
      <c r="O9" s="263"/>
      <c r="P9" s="273"/>
      <c r="Q9" s="3"/>
      <c r="R9" s="3"/>
      <c r="S9" s="3"/>
      <c r="T9" s="3"/>
      <c r="U9" s="270" t="s">
        <v>19</v>
      </c>
      <c r="V9" s="3"/>
      <c r="W9" s="3"/>
      <c r="X9" s="3"/>
      <c r="Y9" s="99" t="s">
        <v>121</v>
      </c>
      <c r="Z9" s="274"/>
      <c r="AA9" s="275"/>
      <c r="AB9" s="276"/>
      <c r="AC9" s="278"/>
      <c r="AD9" s="878" t="s">
        <v>21</v>
      </c>
      <c r="AE9" s="740"/>
      <c r="AF9" s="268"/>
      <c r="AG9" s="268"/>
      <c r="AH9" s="268"/>
      <c r="AI9" s="266"/>
    </row>
    <row r="10" spans="1:35" ht="15">
      <c r="A10" s="899" t="s">
        <v>22</v>
      </c>
      <c r="B10" s="9"/>
      <c r="C10" s="1202" t="s">
        <v>76</v>
      </c>
      <c r="D10" s="1202"/>
      <c r="E10" s="1202"/>
      <c r="F10" s="1202"/>
      <c r="G10" s="263"/>
      <c r="H10" s="270"/>
      <c r="I10" s="270"/>
      <c r="J10" s="270"/>
      <c r="K10" s="3"/>
      <c r="L10" s="273"/>
      <c r="M10" s="2"/>
      <c r="N10" s="3"/>
      <c r="O10" s="263"/>
      <c r="P10" s="273"/>
      <c r="Q10" s="3"/>
      <c r="R10" s="11"/>
      <c r="S10" s="11"/>
      <c r="T10" s="279"/>
      <c r="U10" s="270" t="s">
        <v>23</v>
      </c>
      <c r="V10" s="279"/>
      <c r="W10" s="3"/>
      <c r="X10" s="3"/>
      <c r="Y10" s="280" t="s">
        <v>122</v>
      </c>
      <c r="Z10" s="274"/>
      <c r="AA10" s="275"/>
      <c r="AB10" s="276"/>
      <c r="AC10" s="278"/>
      <c r="AD10" s="278"/>
      <c r="AE10" s="878" t="s">
        <v>24</v>
      </c>
      <c r="AF10" s="741"/>
      <c r="AG10" s="268"/>
      <c r="AH10" s="268"/>
      <c r="AI10" s="266"/>
    </row>
    <row r="11" spans="1:35" ht="15">
      <c r="A11" s="899" t="s">
        <v>22</v>
      </c>
      <c r="B11" s="9"/>
      <c r="C11" s="252" t="s">
        <v>171</v>
      </c>
      <c r="D11" s="270"/>
      <c r="E11" s="270"/>
      <c r="F11" s="270"/>
      <c r="G11" s="263"/>
      <c r="H11" s="270"/>
      <c r="I11" s="270"/>
      <c r="J11" s="270"/>
      <c r="K11" s="3"/>
      <c r="L11" s="273"/>
      <c r="M11" s="2"/>
      <c r="N11" s="270"/>
      <c r="O11" s="263"/>
      <c r="P11" s="273"/>
      <c r="Q11" s="3"/>
      <c r="R11" s="3"/>
      <c r="S11" s="3"/>
      <c r="T11" s="3"/>
      <c r="U11" s="270" t="s">
        <v>23</v>
      </c>
      <c r="V11" s="3"/>
      <c r="W11" s="3"/>
      <c r="X11" s="3"/>
      <c r="Y11" s="99" t="s">
        <v>123</v>
      </c>
      <c r="Z11" s="281"/>
      <c r="AA11" s="282"/>
      <c r="AB11" s="283"/>
      <c r="AC11" s="278"/>
      <c r="AD11" s="278"/>
      <c r="AE11" s="284"/>
      <c r="AF11" s="878" t="s">
        <v>25</v>
      </c>
      <c r="AG11" s="740"/>
      <c r="AH11" s="277"/>
      <c r="AI11" s="266"/>
    </row>
    <row r="12" spans="1:35" ht="15">
      <c r="A12" s="898" t="s">
        <v>26</v>
      </c>
      <c r="B12" s="9"/>
      <c r="C12" s="252" t="s">
        <v>172</v>
      </c>
      <c r="D12" s="270"/>
      <c r="E12" s="270"/>
      <c r="F12" s="270"/>
      <c r="G12" s="263"/>
      <c r="H12" s="270"/>
      <c r="I12" s="270"/>
      <c r="J12" s="270"/>
      <c r="K12" s="3"/>
      <c r="L12" s="273"/>
      <c r="M12" s="2"/>
      <c r="N12" s="270"/>
      <c r="O12" s="263"/>
      <c r="P12" s="273"/>
      <c r="Q12" s="3"/>
      <c r="R12" s="3"/>
      <c r="S12" s="3"/>
      <c r="T12" s="3"/>
      <c r="U12" s="270" t="s">
        <v>27</v>
      </c>
      <c r="V12" s="3"/>
      <c r="W12" s="3"/>
      <c r="X12" s="3"/>
      <c r="Y12" s="99" t="s">
        <v>124</v>
      </c>
      <c r="Z12" s="281"/>
      <c r="AA12" s="282"/>
      <c r="AB12" s="283"/>
      <c r="AC12" s="278"/>
      <c r="AD12" s="278"/>
      <c r="AE12" s="278"/>
      <c r="AF12" s="284"/>
      <c r="AG12" s="931" t="s">
        <v>28</v>
      </c>
      <c r="AH12" s="740"/>
      <c r="AI12" s="266"/>
    </row>
    <row r="13" spans="1:35" ht="15">
      <c r="A13" s="900" t="s">
        <v>26</v>
      </c>
      <c r="B13" s="9"/>
      <c r="C13" s="252" t="s">
        <v>173</v>
      </c>
      <c r="D13" s="270"/>
      <c r="E13" s="270"/>
      <c r="F13" s="270"/>
      <c r="G13" s="263"/>
      <c r="H13" s="270"/>
      <c r="I13" s="270"/>
      <c r="J13" s="270"/>
      <c r="K13" s="3"/>
      <c r="L13" s="273"/>
      <c r="M13" s="2"/>
      <c r="N13" s="270"/>
      <c r="O13" s="263"/>
      <c r="P13" s="273"/>
      <c r="Q13" s="3"/>
      <c r="R13" s="3"/>
      <c r="S13" s="3"/>
      <c r="T13" s="3"/>
      <c r="U13" s="270" t="s">
        <v>27</v>
      </c>
      <c r="V13" s="3"/>
      <c r="W13" s="3"/>
      <c r="X13" s="3"/>
      <c r="Y13" s="99" t="s">
        <v>125</v>
      </c>
      <c r="Z13" s="274"/>
      <c r="AA13" s="275"/>
      <c r="AB13" s="283"/>
      <c r="AC13" s="278"/>
      <c r="AD13" s="278"/>
      <c r="AE13" s="278"/>
      <c r="AF13" s="278"/>
      <c r="AG13" s="285"/>
      <c r="AH13" s="931" t="s">
        <v>29</v>
      </c>
      <c r="AI13" s="266"/>
    </row>
    <row r="14" spans="1:35" ht="15">
      <c r="A14" s="189"/>
      <c r="B14" s="13"/>
      <c r="C14" s="13"/>
      <c r="D14" s="13"/>
      <c r="E14" s="286" t="s">
        <v>69</v>
      </c>
      <c r="F14" s="13"/>
      <c r="G14" s="35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35"/>
      <c r="Z14" s="287"/>
      <c r="AA14" s="288"/>
      <c r="AB14" s="288"/>
      <c r="AC14" s="289"/>
      <c r="AD14" s="290" t="s">
        <v>174</v>
      </c>
      <c r="AE14" s="291"/>
      <c r="AF14" s="291"/>
      <c r="AG14" s="291"/>
      <c r="AH14" s="292"/>
      <c r="AI14" s="266"/>
    </row>
    <row r="15" spans="1:35" ht="15">
      <c r="A15" s="189"/>
      <c r="B15" s="13"/>
      <c r="C15" s="908" t="s">
        <v>30</v>
      </c>
      <c r="D15" s="2"/>
      <c r="E15" s="1212" t="s">
        <v>175</v>
      </c>
      <c r="F15" s="1212"/>
      <c r="G15" s="1212"/>
      <c r="H15" s="1212"/>
      <c r="I15" s="1212"/>
      <c r="J15" s="1212"/>
      <c r="K15" s="1212"/>
      <c r="L15" s="1212"/>
      <c r="M15" s="1212"/>
      <c r="N15" s="1212"/>
      <c r="O15" s="1212"/>
      <c r="P15" s="1212"/>
      <c r="Q15" s="1212"/>
      <c r="R15" s="1212"/>
      <c r="S15" s="1212"/>
      <c r="T15" s="1212"/>
      <c r="U15" s="1212"/>
      <c r="V15" s="1212"/>
      <c r="W15" s="1212"/>
      <c r="X15" s="1212"/>
      <c r="Y15" s="1212"/>
      <c r="Z15" s="17">
        <f>Лист1!A1*22200</f>
        <v>24420.000000000004</v>
      </c>
      <c r="AA15" s="18">
        <f>Лист1!A1*26650</f>
        <v>29315.000000000004</v>
      </c>
      <c r="AB15" s="18">
        <f>Лист1!A1*44500</f>
        <v>48950.00000000001</v>
      </c>
      <c r="AC15" s="18">
        <f>Лист1!A1*64200</f>
        <v>70620</v>
      </c>
      <c r="AD15" s="23"/>
      <c r="AE15" s="18">
        <f>Лист1!A1*97300</f>
        <v>107030.00000000001</v>
      </c>
      <c r="AF15" s="293"/>
      <c r="AG15" s="19">
        <f>Лист1!A1*161200</f>
        <v>177320</v>
      </c>
      <c r="AH15" s="294"/>
      <c r="AI15" s="266"/>
    </row>
    <row r="16" spans="1:35" ht="15">
      <c r="A16" s="189"/>
      <c r="B16" s="13"/>
      <c r="C16" s="909" t="s">
        <v>31</v>
      </c>
      <c r="D16" s="2"/>
      <c r="E16" s="264" t="s">
        <v>176</v>
      </c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95"/>
      <c r="Y16" s="295"/>
      <c r="Z16" s="296"/>
      <c r="AA16" s="21"/>
      <c r="AB16" s="21"/>
      <c r="AC16" s="21"/>
      <c r="AD16" s="22">
        <f>Лист1!A1*82300</f>
        <v>90530.00000000001</v>
      </c>
      <c r="AE16" s="23"/>
      <c r="AF16" s="22">
        <f>Лист1!A1*128000</f>
        <v>140800</v>
      </c>
      <c r="AG16" s="24"/>
      <c r="AH16" s="737">
        <f>Лист1!A1*228000</f>
        <v>250800.00000000003</v>
      </c>
      <c r="AI16" s="266"/>
    </row>
    <row r="17" spans="1:35" ht="15">
      <c r="A17" s="189"/>
      <c r="B17" s="13"/>
      <c r="C17" s="910" t="s">
        <v>32</v>
      </c>
      <c r="D17" s="2"/>
      <c r="E17" s="1212" t="s">
        <v>177</v>
      </c>
      <c r="F17" s="1212"/>
      <c r="G17" s="1212"/>
      <c r="H17" s="1212"/>
      <c r="I17" s="1212"/>
      <c r="J17" s="1212"/>
      <c r="K17" s="1212"/>
      <c r="L17" s="1212"/>
      <c r="M17" s="1212"/>
      <c r="N17" s="1212"/>
      <c r="O17" s="1212"/>
      <c r="P17" s="1212"/>
      <c r="Q17" s="1212"/>
      <c r="R17" s="1212"/>
      <c r="S17" s="1212"/>
      <c r="T17" s="1212"/>
      <c r="U17" s="1212"/>
      <c r="V17" s="1212"/>
      <c r="W17" s="1212"/>
      <c r="X17" s="1212"/>
      <c r="Y17" s="1212"/>
      <c r="Z17" s="25">
        <f>Лист1!A1*39700</f>
        <v>43670</v>
      </c>
      <c r="AA17" s="26">
        <f>Лист1!A1*50500</f>
        <v>55550.00000000001</v>
      </c>
      <c r="AB17" s="18">
        <f>Лист1!A1*79900</f>
        <v>87890</v>
      </c>
      <c r="AC17" s="27">
        <f>Лист1!A1*119000</f>
        <v>130900.00000000001</v>
      </c>
      <c r="AD17" s="297"/>
      <c r="AE17" s="27">
        <f>Лист1!A1*215000</f>
        <v>236500.00000000003</v>
      </c>
      <c r="AF17" s="298"/>
      <c r="AG17" s="299"/>
      <c r="AH17" s="300"/>
      <c r="AI17" s="266"/>
    </row>
    <row r="18" spans="1:38" ht="15">
      <c r="A18" s="189"/>
      <c r="B18" s="13"/>
      <c r="C18" s="910" t="s">
        <v>34</v>
      </c>
      <c r="D18" s="2"/>
      <c r="E18" s="1212" t="s">
        <v>633</v>
      </c>
      <c r="F18" s="1212"/>
      <c r="G18" s="1212"/>
      <c r="H18" s="1212"/>
      <c r="I18" s="1212"/>
      <c r="J18" s="1212"/>
      <c r="K18" s="1212"/>
      <c r="L18" s="1212"/>
      <c r="M18" s="1212"/>
      <c r="N18" s="1212"/>
      <c r="O18" s="1212"/>
      <c r="P18" s="1212"/>
      <c r="Q18" s="1212"/>
      <c r="R18" s="1212"/>
      <c r="S18" s="1212"/>
      <c r="T18" s="1212"/>
      <c r="U18" s="1212"/>
      <c r="V18" s="1212"/>
      <c r="W18" s="1212"/>
      <c r="X18" s="1212"/>
      <c r="Y18" s="1213"/>
      <c r="Z18" s="301"/>
      <c r="AA18" s="736"/>
      <c r="AB18" s="736"/>
      <c r="AC18" s="736"/>
      <c r="AD18" s="302"/>
      <c r="AE18" s="302"/>
      <c r="AF18" s="303"/>
      <c r="AG18" s="303"/>
      <c r="AH18" s="304"/>
      <c r="AI18" s="266"/>
      <c r="AL18" s="427"/>
    </row>
    <row r="19" spans="1:35" ht="8.25" customHeight="1">
      <c r="A19" s="189"/>
      <c r="B19" s="13"/>
      <c r="C19" s="194"/>
      <c r="D19" s="33"/>
      <c r="E19" s="195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34"/>
      <c r="Z19" s="13"/>
      <c r="AA19" s="305"/>
      <c r="AB19" s="305"/>
      <c r="AC19" s="305"/>
      <c r="AD19" s="305"/>
      <c r="AE19" s="305"/>
      <c r="AF19" s="305"/>
      <c r="AG19" s="305"/>
      <c r="AH19" s="305"/>
      <c r="AI19" s="266"/>
    </row>
    <row r="20" spans="1:35" ht="11.25" customHeight="1">
      <c r="A20" s="189"/>
      <c r="B20" s="13"/>
      <c r="C20" s="194"/>
      <c r="D20" s="13"/>
      <c r="E20" s="35"/>
      <c r="F20" s="35"/>
      <c r="G20" s="398" t="s">
        <v>83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13"/>
      <c r="Z20" s="13"/>
      <c r="AA20" s="1131"/>
      <c r="AB20" s="1131"/>
      <c r="AC20" s="1132"/>
      <c r="AD20" s="1133" t="s">
        <v>178</v>
      </c>
      <c r="AE20" s="1134"/>
      <c r="AF20" s="1134"/>
      <c r="AG20" s="1134"/>
      <c r="AH20" s="1134"/>
      <c r="AI20" s="266"/>
    </row>
    <row r="21" spans="1:35" ht="11.25" customHeight="1">
      <c r="A21" s="189"/>
      <c r="B21" s="13"/>
      <c r="C21" s="194"/>
      <c r="D21" s="13"/>
      <c r="E21" s="908">
        <v>0</v>
      </c>
      <c r="F21" s="9"/>
      <c r="G21" s="5" t="s">
        <v>829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1141"/>
      <c r="Y21" s="1140"/>
      <c r="Z21" s="1138"/>
      <c r="AA21" s="1138"/>
      <c r="AB21" s="1138"/>
      <c r="AC21" s="1138"/>
      <c r="AD21" s="1138"/>
      <c r="AE21" s="1138"/>
      <c r="AF21" s="1138"/>
      <c r="AG21" s="1138"/>
      <c r="AH21" s="1139"/>
      <c r="AI21" s="266"/>
    </row>
    <row r="22" spans="1:35" ht="15">
      <c r="A22" s="189"/>
      <c r="B22" s="13"/>
      <c r="C22" s="194"/>
      <c r="D22" s="13"/>
      <c r="E22" s="908">
        <v>4</v>
      </c>
      <c r="F22" s="2"/>
      <c r="G22" s="1267" t="s">
        <v>84</v>
      </c>
      <c r="H22" s="1187"/>
      <c r="I22" s="1187"/>
      <c r="J22" s="1187"/>
      <c r="K22" s="1187"/>
      <c r="L22" s="1187"/>
      <c r="M22" s="1187"/>
      <c r="N22" s="1187"/>
      <c r="O22" s="1187"/>
      <c r="P22" s="1187"/>
      <c r="Q22" s="1187"/>
      <c r="R22" s="1187"/>
      <c r="S22" s="1187"/>
      <c r="T22" s="1187"/>
      <c r="U22" s="1187"/>
      <c r="V22" s="1187"/>
      <c r="W22" s="1187"/>
      <c r="X22" s="1187"/>
      <c r="Y22" s="1188"/>
      <c r="Z22" s="1136" t="s">
        <v>36</v>
      </c>
      <c r="AA22" s="1135"/>
      <c r="AB22" s="1136"/>
      <c r="AC22" s="1136"/>
      <c r="AD22" s="1136"/>
      <c r="AE22" s="1136"/>
      <c r="AF22" s="1136"/>
      <c r="AG22" s="1136"/>
      <c r="AH22" s="1137"/>
      <c r="AI22" s="266"/>
    </row>
    <row r="23" spans="1:35" ht="15">
      <c r="A23" s="189"/>
      <c r="B23" s="13"/>
      <c r="C23" s="194"/>
      <c r="D23" s="13"/>
      <c r="E23" s="911">
        <v>5</v>
      </c>
      <c r="F23" s="9"/>
      <c r="G23" s="1194" t="s">
        <v>179</v>
      </c>
      <c r="H23" s="1187"/>
      <c r="I23" s="1187"/>
      <c r="J23" s="1187"/>
      <c r="K23" s="1187"/>
      <c r="L23" s="1187"/>
      <c r="M23" s="1187"/>
      <c r="N23" s="1187"/>
      <c r="O23" s="1187"/>
      <c r="P23" s="1187"/>
      <c r="Q23" s="1187"/>
      <c r="R23" s="1187"/>
      <c r="S23" s="1187"/>
      <c r="T23" s="1187"/>
      <c r="U23" s="1187"/>
      <c r="V23" s="1187"/>
      <c r="W23" s="1187"/>
      <c r="X23" s="1187"/>
      <c r="Y23" s="1187"/>
      <c r="Z23" s="306" t="s">
        <v>36</v>
      </c>
      <c r="AA23" s="307" t="s">
        <v>36</v>
      </c>
      <c r="AB23" s="307" t="s">
        <v>36</v>
      </c>
      <c r="AC23" s="307" t="s">
        <v>36</v>
      </c>
      <c r="AD23" s="307" t="s">
        <v>36</v>
      </c>
      <c r="AE23" s="657" t="s">
        <v>36</v>
      </c>
      <c r="AF23" s="667"/>
      <c r="AG23" s="667"/>
      <c r="AH23" s="668"/>
      <c r="AI23" s="266"/>
    </row>
    <row r="24" spans="1:35" ht="15">
      <c r="A24" s="189"/>
      <c r="B24" s="13"/>
      <c r="C24" s="194"/>
      <c r="D24" s="13"/>
      <c r="E24" s="910">
        <v>6</v>
      </c>
      <c r="F24" s="9"/>
      <c r="G24" s="1187" t="s">
        <v>180</v>
      </c>
      <c r="H24" s="1187"/>
      <c r="I24" s="1187"/>
      <c r="J24" s="1187"/>
      <c r="K24" s="1187"/>
      <c r="L24" s="1187"/>
      <c r="M24" s="1187"/>
      <c r="N24" s="1187"/>
      <c r="O24" s="1187"/>
      <c r="P24" s="1187"/>
      <c r="Q24" s="1187"/>
      <c r="R24" s="1187"/>
      <c r="S24" s="1187"/>
      <c r="T24" s="1187"/>
      <c r="U24" s="1187"/>
      <c r="V24" s="1187"/>
      <c r="W24" s="1187"/>
      <c r="X24" s="1187"/>
      <c r="Y24" s="1188"/>
      <c r="Z24" s="18">
        <f>Лист1!A1*5600</f>
        <v>6160.000000000001</v>
      </c>
      <c r="AA24" s="18">
        <f>Лист1!A1*6100</f>
        <v>6710.000000000001</v>
      </c>
      <c r="AB24" s="18">
        <f>Лист1!A1*6500</f>
        <v>7150.000000000001</v>
      </c>
      <c r="AC24" s="36">
        <f>Лист1!A1*8300</f>
        <v>9130</v>
      </c>
      <c r="AD24" s="36">
        <f>Лист1!A1*8300</f>
        <v>9130</v>
      </c>
      <c r="AE24" s="19">
        <f>Лист1!A1*11800</f>
        <v>12980.000000000002</v>
      </c>
      <c r="AF24" s="19">
        <f>Лист1!A1*13000</f>
        <v>14300.000000000002</v>
      </c>
      <c r="AG24" s="37">
        <f>Лист1!A1*13400</f>
        <v>14740.000000000002</v>
      </c>
      <c r="AH24" s="737">
        <f>Лист1!A1*13900</f>
        <v>15290.000000000002</v>
      </c>
      <c r="AI24" s="266"/>
    </row>
    <row r="25" spans="1:35" ht="15">
      <c r="A25" s="189"/>
      <c r="B25" s="13"/>
      <c r="C25" s="194"/>
      <c r="D25" s="13"/>
      <c r="E25" s="910">
        <v>7</v>
      </c>
      <c r="F25" s="2"/>
      <c r="G25" s="1187" t="s">
        <v>181</v>
      </c>
      <c r="H25" s="1187"/>
      <c r="I25" s="1187"/>
      <c r="J25" s="1187"/>
      <c r="K25" s="1187"/>
      <c r="L25" s="1187"/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7">
        <f>Лист1!A1*10500</f>
        <v>11550.000000000002</v>
      </c>
      <c r="AA25" s="18">
        <f>Лист1!A1*10800</f>
        <v>11880.000000000002</v>
      </c>
      <c r="AB25" s="18">
        <f>Лист1!A1*10900</f>
        <v>11990.000000000002</v>
      </c>
      <c r="AC25" s="36">
        <f>Лист1!A1*13100</f>
        <v>14410.000000000002</v>
      </c>
      <c r="AD25" s="308"/>
      <c r="AE25" s="42"/>
      <c r="AF25" s="42"/>
      <c r="AG25" s="42"/>
      <c r="AH25" s="309"/>
      <c r="AI25" s="266"/>
    </row>
    <row r="26" spans="1:35" ht="15">
      <c r="A26" s="189"/>
      <c r="B26" s="13"/>
      <c r="C26" s="194"/>
      <c r="D26" s="13"/>
      <c r="E26" s="194"/>
      <c r="F26" s="13"/>
      <c r="G26" s="13"/>
      <c r="H26" s="13"/>
      <c r="I26" s="286" t="s">
        <v>182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310"/>
      <c r="Z26" s="311"/>
      <c r="AA26" s="44"/>
      <c r="AB26" s="44"/>
      <c r="AC26" s="45"/>
      <c r="AD26" s="45"/>
      <c r="AE26" s="45"/>
      <c r="AF26" s="45"/>
      <c r="AG26" s="44"/>
      <c r="AH26" s="312"/>
      <c r="AI26" s="266"/>
    </row>
    <row r="27" spans="1:35" ht="15">
      <c r="A27" s="189"/>
      <c r="B27" s="13"/>
      <c r="C27" s="13"/>
      <c r="D27" s="13"/>
      <c r="E27" s="194"/>
      <c r="F27" s="13"/>
      <c r="G27" s="908">
        <v>1</v>
      </c>
      <c r="H27" s="2"/>
      <c r="I27" s="1202" t="s">
        <v>183</v>
      </c>
      <c r="J27" s="1202"/>
      <c r="K27" s="1202"/>
      <c r="L27" s="1202"/>
      <c r="M27" s="1202"/>
      <c r="N27" s="1202"/>
      <c r="O27" s="1202"/>
      <c r="P27" s="1202"/>
      <c r="Q27" s="1202"/>
      <c r="R27" s="1202"/>
      <c r="S27" s="1202"/>
      <c r="T27" s="1202"/>
      <c r="U27" s="1202"/>
      <c r="V27" s="1202"/>
      <c r="W27" s="1202"/>
      <c r="X27" s="1202"/>
      <c r="Y27" s="1202"/>
      <c r="Z27" s="313" t="s">
        <v>36</v>
      </c>
      <c r="AA27" s="314"/>
      <c r="AB27" s="315"/>
      <c r="AC27" s="315"/>
      <c r="AD27" s="315"/>
      <c r="AE27" s="315"/>
      <c r="AF27" s="315"/>
      <c r="AG27" s="315"/>
      <c r="AH27" s="316"/>
      <c r="AI27" s="266"/>
    </row>
    <row r="28" spans="1:35" ht="15">
      <c r="A28" s="189"/>
      <c r="B28" s="13"/>
      <c r="C28" s="13"/>
      <c r="D28" s="13"/>
      <c r="E28" s="194"/>
      <c r="F28" s="13"/>
      <c r="G28" s="910">
        <v>4</v>
      </c>
      <c r="H28" s="9"/>
      <c r="I28" s="1268" t="s">
        <v>184</v>
      </c>
      <c r="J28" s="1202"/>
      <c r="K28" s="1202"/>
      <c r="L28" s="1202"/>
      <c r="M28" s="1202"/>
      <c r="N28" s="1202"/>
      <c r="O28" s="1202"/>
      <c r="P28" s="1202"/>
      <c r="Q28" s="1202"/>
      <c r="R28" s="1202"/>
      <c r="S28" s="1202"/>
      <c r="T28" s="1202"/>
      <c r="U28" s="1202"/>
      <c r="V28" s="1202"/>
      <c r="W28" s="1202"/>
      <c r="X28" s="1202"/>
      <c r="Y28" s="1202"/>
      <c r="Z28" s="313" t="s">
        <v>36</v>
      </c>
      <c r="AA28" s="314"/>
      <c r="AB28" s="315"/>
      <c r="AC28" s="315"/>
      <c r="AD28" s="315"/>
      <c r="AE28" s="315"/>
      <c r="AF28" s="315"/>
      <c r="AG28" s="315"/>
      <c r="AH28" s="316"/>
      <c r="AI28" s="266"/>
    </row>
    <row r="29" spans="1:35" ht="15">
      <c r="A29" s="189"/>
      <c r="B29" s="13"/>
      <c r="C29" s="194"/>
      <c r="D29" s="13"/>
      <c r="E29" s="194"/>
      <c r="F29" s="13"/>
      <c r="G29" s="194"/>
      <c r="H29" s="13"/>
      <c r="I29" s="13"/>
      <c r="J29" s="13"/>
      <c r="K29" s="317" t="s">
        <v>87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310"/>
      <c r="Z29" s="311"/>
      <c r="AA29" s="44"/>
      <c r="AB29" s="44"/>
      <c r="AC29" s="44"/>
      <c r="AD29" s="44"/>
      <c r="AE29" s="44"/>
      <c r="AF29" s="44"/>
      <c r="AG29" s="44"/>
      <c r="AH29" s="318"/>
      <c r="AI29" s="266"/>
    </row>
    <row r="30" spans="1:35" ht="15">
      <c r="A30" s="189"/>
      <c r="B30" s="13"/>
      <c r="C30" s="194"/>
      <c r="D30" s="13"/>
      <c r="E30" s="194"/>
      <c r="F30" s="13"/>
      <c r="G30" s="194"/>
      <c r="H30" s="13"/>
      <c r="I30" s="911">
        <v>1</v>
      </c>
      <c r="J30" s="5"/>
      <c r="K30" s="1184" t="s">
        <v>185</v>
      </c>
      <c r="L30" s="1184"/>
      <c r="M30" s="1184"/>
      <c r="N30" s="1184"/>
      <c r="O30" s="1184"/>
      <c r="P30" s="1184"/>
      <c r="Q30" s="1184"/>
      <c r="R30" s="1184"/>
      <c r="S30" s="1184"/>
      <c r="T30" s="1184"/>
      <c r="U30" s="1184"/>
      <c r="V30" s="1184"/>
      <c r="W30" s="1184"/>
      <c r="X30" s="1184"/>
      <c r="Y30" s="1184"/>
      <c r="Z30" s="313" t="s">
        <v>36</v>
      </c>
      <c r="AA30" s="314"/>
      <c r="AB30" s="315"/>
      <c r="AC30" s="315"/>
      <c r="AD30" s="315"/>
      <c r="AE30" s="315"/>
      <c r="AF30" s="315"/>
      <c r="AG30" s="315"/>
      <c r="AH30" s="316"/>
      <c r="AI30" s="266"/>
    </row>
    <row r="31" spans="1:35" ht="15">
      <c r="A31" s="189"/>
      <c r="B31" s="13"/>
      <c r="C31" s="194"/>
      <c r="D31" s="13"/>
      <c r="E31" s="194"/>
      <c r="F31" s="13"/>
      <c r="G31" s="194"/>
      <c r="H31" s="13"/>
      <c r="I31" s="910">
        <v>2</v>
      </c>
      <c r="J31" s="2"/>
      <c r="K31" s="1184" t="s">
        <v>186</v>
      </c>
      <c r="L31" s="1196"/>
      <c r="M31" s="1196"/>
      <c r="N31" s="1196"/>
      <c r="O31" s="1196"/>
      <c r="P31" s="1196"/>
      <c r="Q31" s="1196"/>
      <c r="R31" s="1196"/>
      <c r="S31" s="1196"/>
      <c r="T31" s="1196"/>
      <c r="U31" s="1196"/>
      <c r="V31" s="1196"/>
      <c r="W31" s="1196"/>
      <c r="X31" s="1196"/>
      <c r="Y31" s="1196"/>
      <c r="Z31" s="313" t="s">
        <v>36</v>
      </c>
      <c r="AA31" s="314"/>
      <c r="AB31" s="315"/>
      <c r="AC31" s="315"/>
      <c r="AD31" s="315"/>
      <c r="AE31" s="315"/>
      <c r="AF31" s="315"/>
      <c r="AG31" s="315"/>
      <c r="AH31" s="316"/>
      <c r="AI31" s="266"/>
    </row>
    <row r="32" spans="1:35" ht="15">
      <c r="A32" s="189"/>
      <c r="B32" s="13"/>
      <c r="C32" s="194"/>
      <c r="D32" s="13"/>
      <c r="E32" s="194"/>
      <c r="F32" s="13"/>
      <c r="G32" s="194"/>
      <c r="H32" s="13"/>
      <c r="I32" s="910">
        <v>3</v>
      </c>
      <c r="J32" s="2"/>
      <c r="K32" s="1187" t="s">
        <v>90</v>
      </c>
      <c r="L32" s="1187"/>
      <c r="M32" s="1187"/>
      <c r="N32" s="1187"/>
      <c r="O32" s="1187"/>
      <c r="P32" s="1187"/>
      <c r="Q32" s="1187"/>
      <c r="R32" s="1187"/>
      <c r="S32" s="1187"/>
      <c r="T32" s="1187"/>
      <c r="U32" s="1187"/>
      <c r="V32" s="1187"/>
      <c r="W32" s="1187"/>
      <c r="X32" s="1187"/>
      <c r="Y32" s="1188"/>
      <c r="Z32" s="177">
        <f>Лист1!A1*1430</f>
        <v>1573.0000000000002</v>
      </c>
      <c r="AA32" s="49">
        <f>Лист1!A1*1690</f>
        <v>1859.0000000000002</v>
      </c>
      <c r="AB32" s="49">
        <f>Лист1!A1*1950</f>
        <v>2145</v>
      </c>
      <c r="AC32" s="49">
        <f>Лист1!A1*2080</f>
        <v>2288</v>
      </c>
      <c r="AD32" s="49">
        <f>Лист1!A1*2080</f>
        <v>2288</v>
      </c>
      <c r="AE32" s="657">
        <f>Лист1!A1*2600</f>
        <v>2860.0000000000005</v>
      </c>
      <c r="AF32" s="659">
        <f>Лист1!A1*2600</f>
        <v>2860.0000000000005</v>
      </c>
      <c r="AG32" s="659">
        <f>Лист1!A1*3000</f>
        <v>3300.0000000000005</v>
      </c>
      <c r="AH32" s="295">
        <f>Лист1!A1*3000</f>
        <v>3300.0000000000005</v>
      </c>
      <c r="AI32" s="738"/>
    </row>
    <row r="33" spans="1:35" ht="15">
      <c r="A33" s="189"/>
      <c r="B33" s="13"/>
      <c r="C33" s="194"/>
      <c r="D33" s="13"/>
      <c r="E33" s="194"/>
      <c r="F33" s="13"/>
      <c r="G33" s="194"/>
      <c r="H33" s="13"/>
      <c r="I33" s="911">
        <v>4</v>
      </c>
      <c r="J33" s="9"/>
      <c r="K33" s="1187" t="s">
        <v>187</v>
      </c>
      <c r="L33" s="1187"/>
      <c r="M33" s="1187"/>
      <c r="N33" s="1187"/>
      <c r="O33" s="1187"/>
      <c r="P33" s="1187"/>
      <c r="Q33" s="1187"/>
      <c r="R33" s="1187"/>
      <c r="S33" s="1187"/>
      <c r="T33" s="1187"/>
      <c r="U33" s="1187"/>
      <c r="V33" s="1187"/>
      <c r="W33" s="1187"/>
      <c r="X33" s="1187"/>
      <c r="Y33" s="1188"/>
      <c r="Z33" s="321" t="s">
        <v>36</v>
      </c>
      <c r="AA33" s="314"/>
      <c r="AB33" s="321"/>
      <c r="AC33" s="321"/>
      <c r="AD33" s="321"/>
      <c r="AE33" s="321"/>
      <c r="AF33" s="321"/>
      <c r="AG33" s="321"/>
      <c r="AH33" s="322"/>
      <c r="AI33" s="319"/>
    </row>
    <row r="34" spans="1:35" ht="15">
      <c r="A34" s="189"/>
      <c r="B34" s="13"/>
      <c r="C34" s="194"/>
      <c r="D34" s="13"/>
      <c r="E34" s="194"/>
      <c r="F34" s="13"/>
      <c r="G34" s="194"/>
      <c r="H34" s="13"/>
      <c r="I34" s="194"/>
      <c r="J34" s="13"/>
      <c r="K34" s="13"/>
      <c r="L34" s="13"/>
      <c r="M34" s="286" t="s">
        <v>91</v>
      </c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43"/>
      <c r="Z34" s="311"/>
      <c r="AA34" s="21"/>
      <c r="AB34" s="21"/>
      <c r="AC34" s="21"/>
      <c r="AD34" s="21"/>
      <c r="AE34" s="21"/>
      <c r="AF34" s="50"/>
      <c r="AG34" s="21"/>
      <c r="AH34" s="323"/>
      <c r="AI34" s="319"/>
    </row>
    <row r="35" spans="1:35" ht="15">
      <c r="A35" s="189"/>
      <c r="B35" s="13"/>
      <c r="C35" s="194"/>
      <c r="D35" s="13"/>
      <c r="E35" s="194"/>
      <c r="F35" s="13"/>
      <c r="G35" s="194"/>
      <c r="H35" s="13"/>
      <c r="I35" s="194"/>
      <c r="J35" s="203" t="s">
        <v>36</v>
      </c>
      <c r="K35" s="912">
        <v>2</v>
      </c>
      <c r="L35" s="52"/>
      <c r="M35" s="1192" t="s">
        <v>188</v>
      </c>
      <c r="N35" s="1192"/>
      <c r="O35" s="1192"/>
      <c r="P35" s="1192"/>
      <c r="Q35" s="1192"/>
      <c r="R35" s="1192"/>
      <c r="S35" s="1192"/>
      <c r="T35" s="1192"/>
      <c r="U35" s="1192"/>
      <c r="V35" s="1192"/>
      <c r="W35" s="1192"/>
      <c r="X35" s="1192"/>
      <c r="Y35" s="1192"/>
      <c r="Z35" s="320" t="s">
        <v>36</v>
      </c>
      <c r="AA35" s="314"/>
      <c r="AB35" s="321"/>
      <c r="AC35" s="321"/>
      <c r="AD35" s="321"/>
      <c r="AE35" s="321"/>
      <c r="AF35" s="321"/>
      <c r="AG35" s="321"/>
      <c r="AH35" s="322"/>
      <c r="AI35" s="319"/>
    </row>
    <row r="36" spans="1:35" ht="15">
      <c r="A36" s="189"/>
      <c r="B36" s="13"/>
      <c r="C36" s="194"/>
      <c r="D36" s="13"/>
      <c r="E36" s="194"/>
      <c r="F36" s="13"/>
      <c r="G36" s="194"/>
      <c r="H36" s="13"/>
      <c r="I36" s="194"/>
      <c r="J36" s="13"/>
      <c r="K36" s="194"/>
      <c r="L36" s="13"/>
      <c r="M36" s="13"/>
      <c r="N36" s="13"/>
      <c r="O36" s="324" t="s">
        <v>189</v>
      </c>
      <c r="P36" s="207"/>
      <c r="Q36" s="13"/>
      <c r="R36" s="13"/>
      <c r="S36" s="13"/>
      <c r="T36" s="13"/>
      <c r="U36" s="13"/>
      <c r="V36" s="13"/>
      <c r="W36" s="13"/>
      <c r="X36" s="13"/>
      <c r="Y36" s="35"/>
      <c r="Z36" s="311"/>
      <c r="AA36" s="29"/>
      <c r="AB36" s="53"/>
      <c r="AC36" s="53"/>
      <c r="AD36" s="53"/>
      <c r="AE36" s="53"/>
      <c r="AF36" s="53"/>
      <c r="AG36" s="53"/>
      <c r="AH36" s="325"/>
      <c r="AI36" s="319"/>
    </row>
    <row r="37" spans="1:35" ht="15">
      <c r="A37" s="189"/>
      <c r="B37" s="13"/>
      <c r="C37" s="194"/>
      <c r="D37" s="13"/>
      <c r="E37" s="194"/>
      <c r="F37" s="13"/>
      <c r="G37" s="194"/>
      <c r="H37" s="13"/>
      <c r="I37" s="194"/>
      <c r="J37" s="13"/>
      <c r="K37" s="194"/>
      <c r="L37" s="13"/>
      <c r="M37" s="857">
        <v>1</v>
      </c>
      <c r="N37" s="5"/>
      <c r="O37" s="1187" t="s">
        <v>161</v>
      </c>
      <c r="P37" s="1187"/>
      <c r="Q37" s="1187"/>
      <c r="R37" s="1187"/>
      <c r="S37" s="1187"/>
      <c r="T37" s="1187"/>
      <c r="U37" s="1187"/>
      <c r="V37" s="1187"/>
      <c r="W37" s="1187"/>
      <c r="X37" s="1187"/>
      <c r="Y37" s="1187"/>
      <c r="Z37" s="320" t="s">
        <v>36</v>
      </c>
      <c r="AA37" s="314"/>
      <c r="AB37" s="321"/>
      <c r="AC37" s="321"/>
      <c r="AD37" s="321"/>
      <c r="AE37" s="321"/>
      <c r="AF37" s="321"/>
      <c r="AG37" s="321"/>
      <c r="AH37" s="322"/>
      <c r="AI37" s="319"/>
    </row>
    <row r="38" spans="1:35" ht="15">
      <c r="A38" s="1277" t="s">
        <v>657</v>
      </c>
      <c r="B38" s="1278"/>
      <c r="C38" s="1278"/>
      <c r="D38" s="1278"/>
      <c r="E38" s="1278"/>
      <c r="F38" s="1278"/>
      <c r="G38" s="1278"/>
      <c r="H38" s="1278"/>
      <c r="I38" s="1278"/>
      <c r="J38" s="1278"/>
      <c r="K38" s="1278"/>
      <c r="L38" s="13"/>
      <c r="M38" s="914">
        <v>2</v>
      </c>
      <c r="N38" s="2"/>
      <c r="O38" s="1187" t="s">
        <v>190</v>
      </c>
      <c r="P38" s="1187"/>
      <c r="Q38" s="1187"/>
      <c r="R38" s="1187"/>
      <c r="S38" s="1187"/>
      <c r="T38" s="1187"/>
      <c r="U38" s="1187"/>
      <c r="V38" s="1187"/>
      <c r="W38" s="1187"/>
      <c r="X38" s="1187"/>
      <c r="Y38" s="1187"/>
      <c r="Z38" s="320" t="s">
        <v>36</v>
      </c>
      <c r="AA38" s="314"/>
      <c r="AB38" s="321"/>
      <c r="AC38" s="321"/>
      <c r="AD38" s="321"/>
      <c r="AE38" s="321"/>
      <c r="AF38" s="321"/>
      <c r="AG38" s="321"/>
      <c r="AH38" s="322"/>
      <c r="AI38" s="319"/>
    </row>
    <row r="39" spans="1:35" ht="15">
      <c r="A39" s="1278"/>
      <c r="B39" s="1278"/>
      <c r="C39" s="1278"/>
      <c r="D39" s="1278"/>
      <c r="E39" s="1278"/>
      <c r="F39" s="1278"/>
      <c r="G39" s="1278"/>
      <c r="H39" s="1278"/>
      <c r="I39" s="1278"/>
      <c r="J39" s="1278"/>
      <c r="K39" s="1279"/>
      <c r="L39" s="310"/>
      <c r="M39" s="914">
        <v>3</v>
      </c>
      <c r="N39" s="2"/>
      <c r="O39" s="1187" t="s">
        <v>663</v>
      </c>
      <c r="P39" s="1187"/>
      <c r="Q39" s="1187"/>
      <c r="R39" s="1187"/>
      <c r="S39" s="1187"/>
      <c r="T39" s="1187"/>
      <c r="U39" s="1187"/>
      <c r="V39" s="1187"/>
      <c r="W39" s="1187"/>
      <c r="X39" s="1187"/>
      <c r="Y39" s="1188"/>
      <c r="Z39" s="697">
        <f>Лист1!A1*7700</f>
        <v>8470</v>
      </c>
      <c r="AA39" s="691">
        <f>Лист1!A1*7700</f>
        <v>8470</v>
      </c>
      <c r="AB39" s="691">
        <f>Лист1!A1*8100</f>
        <v>8910</v>
      </c>
      <c r="AC39" s="691">
        <f>Лист1!A1*9200</f>
        <v>10120</v>
      </c>
      <c r="AD39" s="691">
        <f>Лист1!A1*9200</f>
        <v>10120</v>
      </c>
      <c r="AE39" s="321"/>
      <c r="AF39" s="321"/>
      <c r="AG39" s="321"/>
      <c r="AH39" s="321"/>
      <c r="AI39" s="738"/>
    </row>
    <row r="40" spans="1:35" ht="15">
      <c r="A40" s="1278"/>
      <c r="B40" s="1278"/>
      <c r="C40" s="1278"/>
      <c r="D40" s="1278"/>
      <c r="E40" s="1278"/>
      <c r="F40" s="1278"/>
      <c r="G40" s="1278"/>
      <c r="H40" s="1278"/>
      <c r="I40" s="1278"/>
      <c r="J40" s="1278"/>
      <c r="K40" s="1278"/>
      <c r="L40" s="717"/>
      <c r="M40" s="933">
        <v>4</v>
      </c>
      <c r="N40" s="2"/>
      <c r="O40" s="1187" t="s">
        <v>97</v>
      </c>
      <c r="P40" s="1187"/>
      <c r="Q40" s="1187"/>
      <c r="R40" s="1187"/>
      <c r="S40" s="1187"/>
      <c r="T40" s="1187"/>
      <c r="U40" s="1187"/>
      <c r="V40" s="1187"/>
      <c r="W40" s="1187"/>
      <c r="X40" s="1187"/>
      <c r="Y40" s="1187"/>
      <c r="Z40" s="697">
        <f>Лист1!A1*6370</f>
        <v>7007.000000000001</v>
      </c>
      <c r="AA40" s="700">
        <f>Лист1!A1*6370</f>
        <v>7007.000000000001</v>
      </c>
      <c r="AB40" s="49">
        <f>Лист1!A1*7800</f>
        <v>8580</v>
      </c>
      <c r="AC40" s="49">
        <f>Лист1!A1*9900</f>
        <v>10890</v>
      </c>
      <c r="AD40" s="49">
        <f>Лист1!A1*9900</f>
        <v>10890</v>
      </c>
      <c r="AE40" s="177">
        <f>Лист1!A1*9200</f>
        <v>10120</v>
      </c>
      <c r="AF40" s="49">
        <f>Лист1!A1*9200</f>
        <v>10120</v>
      </c>
      <c r="AG40" s="49">
        <f>Лист1!A1*10900</f>
        <v>11990.000000000002</v>
      </c>
      <c r="AH40" s="747">
        <f>Лист1!A1*10900</f>
        <v>11990.000000000002</v>
      </c>
      <c r="AI40" s="738"/>
    </row>
    <row r="41" spans="1:35" ht="15">
      <c r="A41" s="189"/>
      <c r="B41" s="13"/>
      <c r="C41" s="194"/>
      <c r="D41" s="13"/>
      <c r="E41" s="194"/>
      <c r="F41" s="13"/>
      <c r="G41" s="194"/>
      <c r="H41" s="13"/>
      <c r="I41" s="194"/>
      <c r="J41" s="13"/>
      <c r="K41" s="194"/>
      <c r="L41" s="13"/>
      <c r="M41" s="914">
        <v>5</v>
      </c>
      <c r="N41" s="2"/>
      <c r="O41" s="1187" t="s">
        <v>191</v>
      </c>
      <c r="P41" s="1187"/>
      <c r="Q41" s="1187"/>
      <c r="R41" s="1187"/>
      <c r="S41" s="1187"/>
      <c r="T41" s="1187"/>
      <c r="U41" s="1187"/>
      <c r="V41" s="1187"/>
      <c r="W41" s="1187"/>
      <c r="X41" s="1187"/>
      <c r="Y41" s="1187"/>
      <c r="Z41" s="698">
        <f>Лист1!A1*7800</f>
        <v>8580</v>
      </c>
      <c r="AA41" s="701">
        <f>Лист1!A1*7800</f>
        <v>8580</v>
      </c>
      <c r="AB41" s="49">
        <f>Лист1!A1*9500</f>
        <v>10450</v>
      </c>
      <c r="AC41" s="49">
        <f>Лист1!A1*11400</f>
        <v>12540.000000000002</v>
      </c>
      <c r="AD41" s="49">
        <f>Лист1!A1*11400</f>
        <v>12540.000000000002</v>
      </c>
      <c r="AE41" s="55"/>
      <c r="AF41" s="56"/>
      <c r="AG41" s="56"/>
      <c r="AH41" s="326"/>
      <c r="AI41" s="319"/>
    </row>
    <row r="42" spans="1:35" ht="15">
      <c r="A42" s="189"/>
      <c r="B42" s="13"/>
      <c r="C42" s="194"/>
      <c r="D42" s="13"/>
      <c r="E42" s="194"/>
      <c r="F42" s="13"/>
      <c r="G42" s="194"/>
      <c r="H42" s="13"/>
      <c r="I42" s="194"/>
      <c r="J42" s="13"/>
      <c r="K42" s="194"/>
      <c r="L42" s="13"/>
      <c r="M42" s="914">
        <v>6</v>
      </c>
      <c r="N42" s="2"/>
      <c r="O42" s="1187" t="s">
        <v>99</v>
      </c>
      <c r="P42" s="1187"/>
      <c r="Q42" s="1187"/>
      <c r="R42" s="1187"/>
      <c r="S42" s="1187"/>
      <c r="T42" s="1187"/>
      <c r="U42" s="1187"/>
      <c r="V42" s="1187"/>
      <c r="W42" s="1187"/>
      <c r="X42" s="1187"/>
      <c r="Y42" s="1187"/>
      <c r="Z42" s="699">
        <f>Лист1!A1*7800</f>
        <v>8580</v>
      </c>
      <c r="AA42" s="702">
        <f>Лист1!A1*7800</f>
        <v>8580</v>
      </c>
      <c r="AB42" s="49">
        <f>Лист1!A1*9500</f>
        <v>10450</v>
      </c>
      <c r="AC42" s="49">
        <f>Лист1!A1*11400</f>
        <v>12540.000000000002</v>
      </c>
      <c r="AD42" s="49">
        <f>Лист1!A1*11400</f>
        <v>12540.000000000002</v>
      </c>
      <c r="AE42" s="49">
        <f>Лист1!A1*12900</f>
        <v>14190.000000000002</v>
      </c>
      <c r="AF42" s="49">
        <f>Лист1!A1*12900</f>
        <v>14190.000000000002</v>
      </c>
      <c r="AG42" s="49">
        <f>Лист1!A1*13900</f>
        <v>15290.000000000002</v>
      </c>
      <c r="AH42" s="747">
        <f>Лист1!A1*13900</f>
        <v>15290.000000000002</v>
      </c>
      <c r="AI42" s="738"/>
    </row>
    <row r="43" spans="1:35" ht="15">
      <c r="A43" s="189"/>
      <c r="B43" s="13"/>
      <c r="C43" s="194"/>
      <c r="D43" s="13"/>
      <c r="E43" s="194"/>
      <c r="F43" s="13"/>
      <c r="G43" s="194"/>
      <c r="H43" s="13"/>
      <c r="I43" s="194"/>
      <c r="J43" s="13"/>
      <c r="K43" s="194"/>
      <c r="L43" s="13"/>
      <c r="M43" s="857">
        <v>7</v>
      </c>
      <c r="N43" s="9"/>
      <c r="O43" s="1187" t="s">
        <v>662</v>
      </c>
      <c r="P43" s="1187"/>
      <c r="Q43" s="1187"/>
      <c r="R43" s="1187"/>
      <c r="S43" s="1187"/>
      <c r="T43" s="1187"/>
      <c r="U43" s="1187"/>
      <c r="V43" s="1187"/>
      <c r="W43" s="1187"/>
      <c r="X43" s="1187"/>
      <c r="Y43" s="1188"/>
      <c r="Z43" s="699">
        <f>Лист1!A1*7800</f>
        <v>8580</v>
      </c>
      <c r="AA43" s="702">
        <f>Лист1!A1*7800</f>
        <v>8580</v>
      </c>
      <c r="AB43" s="49">
        <f>Лист1!A1*9500</f>
        <v>10450</v>
      </c>
      <c r="AC43" s="49">
        <f>Лист1!A1*11400</f>
        <v>12540.000000000002</v>
      </c>
      <c r="AD43" s="49">
        <f>Лист1!A1*11400</f>
        <v>12540.000000000002</v>
      </c>
      <c r="AE43" s="49">
        <f>Лист1!A1*12900</f>
        <v>14190.000000000002</v>
      </c>
      <c r="AF43" s="49">
        <f>Лист1!A1*12900</f>
        <v>14190.000000000002</v>
      </c>
      <c r="AG43" s="49">
        <f>Лист1!A1*13900</f>
        <v>15290.000000000002</v>
      </c>
      <c r="AH43" s="405">
        <f>Лист1!A1*13900</f>
        <v>15290.000000000002</v>
      </c>
      <c r="AI43" s="319"/>
    </row>
    <row r="44" spans="1:35" ht="15">
      <c r="A44" s="189"/>
      <c r="B44" s="13"/>
      <c r="C44" s="194"/>
      <c r="D44" s="13"/>
      <c r="E44" s="194"/>
      <c r="F44" s="13"/>
      <c r="G44" s="194"/>
      <c r="H44" s="13"/>
      <c r="I44" s="194"/>
      <c r="J44" s="13"/>
      <c r="K44" s="194"/>
      <c r="L44" s="13"/>
      <c r="M44" s="857">
        <v>9</v>
      </c>
      <c r="N44" s="9"/>
      <c r="O44" s="1194" t="s">
        <v>192</v>
      </c>
      <c r="P44" s="1194"/>
      <c r="Q44" s="1194"/>
      <c r="R44" s="1194"/>
      <c r="S44" s="1194"/>
      <c r="T44" s="1194"/>
      <c r="U44" s="1194"/>
      <c r="V44" s="1194"/>
      <c r="W44" s="1194"/>
      <c r="X44" s="1194"/>
      <c r="Y44" s="1194"/>
      <c r="Z44" s="1269" t="s">
        <v>133</v>
      </c>
      <c r="AA44" s="1270"/>
      <c r="AB44" s="1270"/>
      <c r="AC44" s="1270"/>
      <c r="AD44" s="1270"/>
      <c r="AE44" s="1270"/>
      <c r="AF44" s="1270"/>
      <c r="AG44" s="1270"/>
      <c r="AH44" s="1271"/>
      <c r="AI44" s="319"/>
    </row>
    <row r="45" spans="1:35" ht="15">
      <c r="A45" s="189"/>
      <c r="B45" s="13"/>
      <c r="C45" s="194"/>
      <c r="D45" s="13"/>
      <c r="E45" s="194"/>
      <c r="F45" s="13"/>
      <c r="G45" s="194"/>
      <c r="H45" s="13"/>
      <c r="I45" s="194"/>
      <c r="J45" s="13"/>
      <c r="K45" s="194"/>
      <c r="L45" s="13"/>
      <c r="M45" s="30"/>
      <c r="N45" s="210"/>
      <c r="O45" s="211"/>
      <c r="P45" s="13"/>
      <c r="Q45" s="327" t="s">
        <v>101</v>
      </c>
      <c r="R45" s="213"/>
      <c r="S45" s="213"/>
      <c r="T45" s="213"/>
      <c r="U45" s="213"/>
      <c r="V45" s="213"/>
      <c r="W45" s="213"/>
      <c r="X45" s="213"/>
      <c r="Y45" s="35"/>
      <c r="Z45" s="311"/>
      <c r="AA45" s="29"/>
      <c r="AB45" s="53"/>
      <c r="AC45" s="53"/>
      <c r="AD45" s="53"/>
      <c r="AE45" s="53"/>
      <c r="AF45" s="53"/>
      <c r="AG45" s="53"/>
      <c r="AH45" s="325"/>
      <c r="AI45" s="319"/>
    </row>
    <row r="46" spans="1:35" ht="15">
      <c r="A46" s="178"/>
      <c r="B46" s="6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915">
        <v>0</v>
      </c>
      <c r="P46" s="59"/>
      <c r="Q46" s="1187" t="s">
        <v>193</v>
      </c>
      <c r="R46" s="1187"/>
      <c r="S46" s="1187"/>
      <c r="T46" s="1187"/>
      <c r="U46" s="1187"/>
      <c r="V46" s="1187"/>
      <c r="W46" s="1187"/>
      <c r="X46" s="1187"/>
      <c r="Y46" s="1187"/>
      <c r="Z46" s="328" t="s">
        <v>36</v>
      </c>
      <c r="AA46" s="314"/>
      <c r="AB46" s="329"/>
      <c r="AC46" s="329"/>
      <c r="AD46" s="329"/>
      <c r="AE46" s="329"/>
      <c r="AF46" s="329"/>
      <c r="AG46" s="329"/>
      <c r="AH46" s="330"/>
      <c r="AI46" s="319"/>
    </row>
    <row r="47" spans="1:35" ht="15">
      <c r="A47" s="192"/>
      <c r="B47" s="13"/>
      <c r="C47" s="13"/>
      <c r="D47" s="13"/>
      <c r="E47" s="13"/>
      <c r="F47" s="13"/>
      <c r="G47" s="13"/>
      <c r="H47" s="13"/>
      <c r="I47" s="331" t="s">
        <v>194</v>
      </c>
      <c r="J47" s="13"/>
      <c r="K47" s="13"/>
      <c r="L47" s="13"/>
      <c r="M47" s="13"/>
      <c r="N47" s="13"/>
      <c r="O47" s="332"/>
      <c r="P47" s="333"/>
      <c r="Q47" s="333"/>
      <c r="R47" s="333"/>
      <c r="S47" s="333"/>
      <c r="T47" s="333"/>
      <c r="U47" s="333"/>
      <c r="V47" s="333"/>
      <c r="W47" s="333"/>
      <c r="X47" s="333"/>
      <c r="Y47" s="334"/>
      <c r="Z47" s="335"/>
      <c r="AA47" s="336"/>
      <c r="AB47" s="30"/>
      <c r="AC47" s="336"/>
      <c r="AD47" s="336"/>
      <c r="AE47" s="336"/>
      <c r="AF47" s="336"/>
      <c r="AG47" s="336"/>
      <c r="AH47" s="337"/>
      <c r="AI47" s="319"/>
    </row>
    <row r="48" spans="1:35" ht="15">
      <c r="A48" s="189"/>
      <c r="B48" s="13"/>
      <c r="C48" s="194"/>
      <c r="D48" s="13"/>
      <c r="E48" s="6"/>
      <c r="F48" s="16" t="s">
        <v>195</v>
      </c>
      <c r="G48" s="194"/>
      <c r="H48" s="13"/>
      <c r="I48" s="194"/>
      <c r="J48" s="13"/>
      <c r="K48" s="6"/>
      <c r="L48" s="16" t="s">
        <v>196</v>
      </c>
      <c r="M48" s="30"/>
      <c r="N48" s="210"/>
      <c r="O48" s="30"/>
      <c r="P48" s="220"/>
      <c r="Q48" s="211"/>
      <c r="R48" s="211"/>
      <c r="S48" s="327" t="s">
        <v>197</v>
      </c>
      <c r="T48" s="324"/>
      <c r="U48" s="324"/>
      <c r="V48" s="324"/>
      <c r="W48" s="324"/>
      <c r="X48" s="215"/>
      <c r="Y48" s="215"/>
      <c r="Z48" s="338"/>
      <c r="AA48" s="215"/>
      <c r="AB48" s="339"/>
      <c r="AC48" s="339"/>
      <c r="AD48" s="340" t="s">
        <v>198</v>
      </c>
      <c r="AE48" s="339"/>
      <c r="AF48" s="339"/>
      <c r="AG48" s="339"/>
      <c r="AH48" s="341"/>
      <c r="AI48" s="319"/>
    </row>
    <row r="49" spans="1:35" ht="15">
      <c r="A49" s="192"/>
      <c r="B49" s="78"/>
      <c r="C49" s="343" t="s">
        <v>199</v>
      </c>
      <c r="D49" s="29"/>
      <c r="E49" s="29"/>
      <c r="F49" s="80"/>
      <c r="G49" s="80"/>
      <c r="H49" s="29"/>
      <c r="I49" s="80"/>
      <c r="J49" s="342" t="s">
        <v>200</v>
      </c>
      <c r="K49" s="80"/>
      <c r="L49" s="80"/>
      <c r="M49" s="80"/>
      <c r="N49" s="80"/>
      <c r="O49" s="80"/>
      <c r="P49" s="69"/>
      <c r="Q49" s="876" t="s">
        <v>201</v>
      </c>
      <c r="R49" s="84"/>
      <c r="S49" s="264" t="s">
        <v>202</v>
      </c>
      <c r="T49" s="264"/>
      <c r="U49" s="264"/>
      <c r="V49" s="264"/>
      <c r="W49" s="264"/>
      <c r="X49" s="263"/>
      <c r="Y49" s="2"/>
      <c r="Z49" s="1242">
        <f>Лист1!A1*6200</f>
        <v>6820.000000000001</v>
      </c>
      <c r="AA49" s="1243"/>
      <c r="AB49" s="1243"/>
      <c r="AC49" s="1243"/>
      <c r="AD49" s="1243"/>
      <c r="AE49" s="1243"/>
      <c r="AF49" s="1243"/>
      <c r="AG49" s="1243"/>
      <c r="AH49" s="1296"/>
      <c r="AI49" s="266"/>
    </row>
    <row r="50" spans="1:35" ht="15">
      <c r="A50" s="192"/>
      <c r="B50" s="344"/>
      <c r="C50" s="345"/>
      <c r="D50" s="344"/>
      <c r="E50" s="57"/>
      <c r="F50" s="346"/>
      <c r="G50" s="345"/>
      <c r="H50" s="344"/>
      <c r="I50" s="80"/>
      <c r="J50" s="81"/>
      <c r="K50" s="81"/>
      <c r="L50" s="82"/>
      <c r="M50" s="82"/>
      <c r="N50" s="82"/>
      <c r="O50" s="82"/>
      <c r="P50" s="69"/>
      <c r="Q50" s="290"/>
      <c r="R50" s="290"/>
      <c r="S50" s="310"/>
      <c r="T50" s="347"/>
      <c r="U50" s="348" t="s">
        <v>203</v>
      </c>
      <c r="V50" s="347"/>
      <c r="W50" s="347"/>
      <c r="X50" s="310"/>
      <c r="Y50" s="310"/>
      <c r="Z50" s="349"/>
      <c r="AA50" s="350"/>
      <c r="AB50" s="351"/>
      <c r="AC50" s="352"/>
      <c r="AD50" s="352"/>
      <c r="AE50" s="351"/>
      <c r="AF50" s="350"/>
      <c r="AG50" s="350"/>
      <c r="AH50" s="353"/>
      <c r="AI50" s="266"/>
    </row>
    <row r="51" spans="1:35" ht="15">
      <c r="A51" s="354"/>
      <c r="B51" s="181"/>
      <c r="C51" s="181"/>
      <c r="D51" s="181"/>
      <c r="E51" s="181"/>
      <c r="F51" s="181"/>
      <c r="G51" s="181"/>
      <c r="H51" s="181"/>
      <c r="I51" s="355"/>
      <c r="J51" s="1275" t="s">
        <v>204</v>
      </c>
      <c r="K51" s="1276"/>
      <c r="L51" s="1276"/>
      <c r="M51" s="1276"/>
      <c r="N51" s="1276"/>
      <c r="O51" s="1276"/>
      <c r="P51" s="1276"/>
      <c r="Q51" s="876" t="s">
        <v>205</v>
      </c>
      <c r="R51" s="84"/>
      <c r="S51" s="1272" t="s">
        <v>206</v>
      </c>
      <c r="T51" s="1273"/>
      <c r="U51" s="1273"/>
      <c r="V51" s="1273"/>
      <c r="W51" s="1273"/>
      <c r="X51" s="1273"/>
      <c r="Y51" s="1274"/>
      <c r="Z51" s="356"/>
      <c r="AA51" s="1297">
        <f>Лист1!A1*55250</f>
        <v>60775.00000000001</v>
      </c>
      <c r="AB51" s="1298"/>
      <c r="AC51" s="1298"/>
      <c r="AD51" s="1298"/>
      <c r="AE51" s="1298"/>
      <c r="AF51" s="1298"/>
      <c r="AG51" s="1298"/>
      <c r="AH51" s="1299"/>
      <c r="AI51" s="266"/>
    </row>
    <row r="52" spans="1:35" ht="15">
      <c r="A52" s="354"/>
      <c r="B52" s="181"/>
      <c r="C52" s="181"/>
      <c r="D52" s="181"/>
      <c r="E52" s="181"/>
      <c r="F52" s="181"/>
      <c r="G52" s="181"/>
      <c r="H52" s="181"/>
      <c r="I52" s="355"/>
      <c r="J52" s="1275" t="s">
        <v>204</v>
      </c>
      <c r="K52" s="1275"/>
      <c r="L52" s="1275"/>
      <c r="M52" s="1275"/>
      <c r="N52" s="1275"/>
      <c r="O52" s="1275"/>
      <c r="P52" s="1275"/>
      <c r="Q52" s="876" t="s">
        <v>207</v>
      </c>
      <c r="R52" s="63"/>
      <c r="S52" s="1272" t="s">
        <v>208</v>
      </c>
      <c r="T52" s="1273"/>
      <c r="U52" s="1273"/>
      <c r="V52" s="1273"/>
      <c r="W52" s="1273"/>
      <c r="X52" s="1273"/>
      <c r="Y52" s="1274"/>
      <c r="Z52" s="358"/>
      <c r="AA52" s="1297">
        <f>Лист1!A1*92000</f>
        <v>101200.00000000001</v>
      </c>
      <c r="AB52" s="1298"/>
      <c r="AC52" s="1298"/>
      <c r="AD52" s="1298"/>
      <c r="AE52" s="1298"/>
      <c r="AF52" s="1298"/>
      <c r="AG52" s="1298"/>
      <c r="AH52" s="1299"/>
      <c r="AI52" s="266"/>
    </row>
    <row r="53" spans="1:35" ht="15">
      <c r="A53" s="354"/>
      <c r="B53" s="181"/>
      <c r="C53" s="181"/>
      <c r="D53" s="181"/>
      <c r="E53" s="181"/>
      <c r="F53" s="181"/>
      <c r="G53" s="181"/>
      <c r="H53" s="181"/>
      <c r="I53" s="355"/>
      <c r="J53" s="1275" t="s">
        <v>204</v>
      </c>
      <c r="K53" s="1276"/>
      <c r="L53" s="1276"/>
      <c r="M53" s="1276"/>
      <c r="N53" s="1276"/>
      <c r="O53" s="1276"/>
      <c r="P53" s="1276"/>
      <c r="Q53" s="918" t="s">
        <v>209</v>
      </c>
      <c r="R53" s="359"/>
      <c r="S53" s="1272" t="s">
        <v>210</v>
      </c>
      <c r="T53" s="1273"/>
      <c r="U53" s="1273"/>
      <c r="V53" s="1273"/>
      <c r="W53" s="1273"/>
      <c r="X53" s="1273"/>
      <c r="Y53" s="1274"/>
      <c r="Z53" s="358"/>
      <c r="AA53" s="1300">
        <f>Лист1!A1*89000</f>
        <v>97900.00000000001</v>
      </c>
      <c r="AB53" s="1301"/>
      <c r="AC53" s="1301"/>
      <c r="AD53" s="1301"/>
      <c r="AE53" s="1301"/>
      <c r="AF53" s="1301"/>
      <c r="AG53" s="1301"/>
      <c r="AH53" s="1302"/>
      <c r="AI53" s="266"/>
    </row>
    <row r="54" spans="1:35" ht="15">
      <c r="A54" s="354"/>
      <c r="B54" s="181"/>
      <c r="C54" s="181"/>
      <c r="D54" s="181"/>
      <c r="E54" s="181"/>
      <c r="F54" s="181"/>
      <c r="G54" s="181"/>
      <c r="H54" s="181"/>
      <c r="I54" s="355"/>
      <c r="J54" s="1275" t="s">
        <v>204</v>
      </c>
      <c r="K54" s="1276"/>
      <c r="L54" s="1276"/>
      <c r="M54" s="1276"/>
      <c r="N54" s="1276"/>
      <c r="O54" s="1276"/>
      <c r="P54" s="1276"/>
      <c r="Q54" s="918" t="s">
        <v>211</v>
      </c>
      <c r="R54" s="359"/>
      <c r="S54" s="1272" t="s">
        <v>212</v>
      </c>
      <c r="T54" s="1273"/>
      <c r="U54" s="1273"/>
      <c r="V54" s="1273"/>
      <c r="W54" s="1273"/>
      <c r="X54" s="1273"/>
      <c r="Y54" s="1274"/>
      <c r="Z54" s="358"/>
      <c r="AA54" s="1297">
        <f>Лист1!A1*149300</f>
        <v>164230</v>
      </c>
      <c r="AB54" s="1298"/>
      <c r="AC54" s="1298"/>
      <c r="AD54" s="1298"/>
      <c r="AE54" s="1298"/>
      <c r="AF54" s="1298"/>
      <c r="AG54" s="1298"/>
      <c r="AH54" s="1299"/>
      <c r="AI54" s="266"/>
    </row>
    <row r="55" spans="1:35" ht="15">
      <c r="A55" s="189"/>
      <c r="B55" s="53"/>
      <c r="C55" s="13"/>
      <c r="D55" s="53"/>
      <c r="E55" s="194"/>
      <c r="F55" s="53"/>
      <c r="G55" s="194"/>
      <c r="H55" s="53"/>
      <c r="I55" s="194"/>
      <c r="J55" s="53"/>
      <c r="K55" s="194"/>
      <c r="L55" s="53"/>
      <c r="M55" s="30"/>
      <c r="N55" s="30"/>
      <c r="O55" s="30"/>
      <c r="P55" s="220"/>
      <c r="Q55" s="920" t="s">
        <v>51</v>
      </c>
      <c r="R55" s="84"/>
      <c r="S55" s="1284" t="s">
        <v>110</v>
      </c>
      <c r="T55" s="1284"/>
      <c r="U55" s="1284"/>
      <c r="V55" s="1284"/>
      <c r="W55" s="1284"/>
      <c r="X55" s="1284"/>
      <c r="Y55" s="1284"/>
      <c r="Z55" s="360"/>
      <c r="AA55" s="733"/>
      <c r="AB55" s="52"/>
      <c r="AC55" s="734"/>
      <c r="AD55" s="735" t="s">
        <v>213</v>
      </c>
      <c r="AE55" s="52"/>
      <c r="AF55" s="52"/>
      <c r="AG55" s="361"/>
      <c r="AH55" s="362"/>
      <c r="AI55" s="266"/>
    </row>
    <row r="56" spans="1:35" ht="15">
      <c r="A56" s="178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327" t="s">
        <v>214</v>
      </c>
      <c r="V56" s="6"/>
      <c r="W56" s="6"/>
      <c r="X56" s="6"/>
      <c r="Y56" s="6"/>
      <c r="Z56" s="363"/>
      <c r="AA56" s="1285" t="s">
        <v>215</v>
      </c>
      <c r="AB56" s="1285"/>
      <c r="AC56" s="1285"/>
      <c r="AD56" s="1285"/>
      <c r="AE56" s="1285"/>
      <c r="AF56" s="1285"/>
      <c r="AG56" s="1285"/>
      <c r="AH56" s="1286"/>
      <c r="AI56" s="266"/>
    </row>
    <row r="57" spans="1:35" ht="15">
      <c r="A57" s="178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873">
        <v>1</v>
      </c>
      <c r="T57" s="83"/>
      <c r="U57" s="1287" t="s">
        <v>216</v>
      </c>
      <c r="V57" s="1273"/>
      <c r="W57" s="1273"/>
      <c r="X57" s="1273"/>
      <c r="Y57" s="1274"/>
      <c r="Z57" s="365"/>
      <c r="AA57" s="168">
        <f>Лист1!A1*5600</f>
        <v>6160.000000000001</v>
      </c>
      <c r="AB57" s="167">
        <f>Лист1!A1*5600</f>
        <v>6160.000000000001</v>
      </c>
      <c r="AC57" s="167">
        <f>Лист1!A1*6100</f>
        <v>6710.000000000001</v>
      </c>
      <c r="AD57" s="167">
        <f>Лист1!A1*6100</f>
        <v>6710.000000000001</v>
      </c>
      <c r="AE57" s="167">
        <f>Лист1!A1*6600</f>
        <v>7260.000000000001</v>
      </c>
      <c r="AF57" s="167">
        <f>Лист1!A1*6600</f>
        <v>7260.000000000001</v>
      </c>
      <c r="AG57" s="168">
        <f>Лист1!A1*7000</f>
        <v>7700.000000000001</v>
      </c>
      <c r="AH57" s="744">
        <f>Лист1!A1*7000</f>
        <v>7700.000000000001</v>
      </c>
      <c r="AI57" s="739"/>
    </row>
    <row r="58" spans="1:35" ht="23.25" customHeight="1">
      <c r="A58" s="178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874">
        <v>2</v>
      </c>
      <c r="T58" s="83"/>
      <c r="U58" s="1288" t="s">
        <v>128</v>
      </c>
      <c r="V58" s="1288"/>
      <c r="W58" s="1288"/>
      <c r="X58" s="1288"/>
      <c r="Y58" s="1289"/>
      <c r="Z58" s="366"/>
      <c r="AA58" s="168">
        <f>Лист1!A1*46000</f>
        <v>50600.00000000001</v>
      </c>
      <c r="AB58" s="168">
        <f>Лист1!A1*46000</f>
        <v>50600.00000000001</v>
      </c>
      <c r="AC58" s="167">
        <f>Лист1!A1*46800</f>
        <v>51480.00000000001</v>
      </c>
      <c r="AD58" s="167">
        <f>Лист1!A1*46800</f>
        <v>51480.00000000001</v>
      </c>
      <c r="AE58" s="167">
        <f>Лист1!A1*58000</f>
        <v>63800.00000000001</v>
      </c>
      <c r="AF58" s="167">
        <f>Лист1!A1*58000</f>
        <v>63800.00000000001</v>
      </c>
      <c r="AG58" s="168">
        <f>Лист1!A1*68000</f>
        <v>74800</v>
      </c>
      <c r="AH58" s="746">
        <f>Лист1!A1*68000</f>
        <v>74800</v>
      </c>
      <c r="AI58" s="266"/>
    </row>
    <row r="59" spans="1:35" ht="15">
      <c r="A59" s="178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874">
        <v>3</v>
      </c>
      <c r="T59" s="83"/>
      <c r="U59" s="364" t="s">
        <v>217</v>
      </c>
      <c r="V59" s="84"/>
      <c r="W59" s="364"/>
      <c r="X59" s="364"/>
      <c r="Y59" s="367"/>
      <c r="Z59" s="366"/>
      <c r="AA59" s="168">
        <f>SUM(AA57:AA58)</f>
        <v>56760.00000000001</v>
      </c>
      <c r="AB59" s="166">
        <f>SUM(AB57:AB58)</f>
        <v>56760.00000000001</v>
      </c>
      <c r="AC59" s="166">
        <f aca="true" t="shared" si="0" ref="AC59:AH59">SUM(AC57:AC58)</f>
        <v>58190.00000000001</v>
      </c>
      <c r="AD59" s="166">
        <f t="shared" si="0"/>
        <v>58190.00000000001</v>
      </c>
      <c r="AE59" s="166">
        <f t="shared" si="0"/>
        <v>71060.00000000001</v>
      </c>
      <c r="AF59" s="166">
        <f t="shared" si="0"/>
        <v>71060.00000000001</v>
      </c>
      <c r="AG59" s="166">
        <f t="shared" si="0"/>
        <v>82500</v>
      </c>
      <c r="AH59" s="745">
        <f t="shared" si="0"/>
        <v>82500</v>
      </c>
      <c r="AI59" s="739"/>
    </row>
    <row r="60" spans="1:35" ht="25.5" customHeight="1">
      <c r="A60" s="178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874">
        <v>4</v>
      </c>
      <c r="T60" s="83"/>
      <c r="U60" s="1290" t="s">
        <v>218</v>
      </c>
      <c r="V60" s="1291"/>
      <c r="W60" s="1291"/>
      <c r="X60" s="1291"/>
      <c r="Y60" s="1292"/>
      <c r="Z60" s="366"/>
      <c r="AA60" s="166">
        <f>Лист1!A1*18600</f>
        <v>20460</v>
      </c>
      <c r="AB60" s="166">
        <f>Лист1!A1*18600</f>
        <v>20460</v>
      </c>
      <c r="AC60" s="166">
        <v>19100</v>
      </c>
      <c r="AD60" s="166">
        <v>19100</v>
      </c>
      <c r="AE60" s="166">
        <v>19600</v>
      </c>
      <c r="AF60" s="166">
        <v>19600</v>
      </c>
      <c r="AG60" s="166">
        <v>20000</v>
      </c>
      <c r="AH60" s="745">
        <v>20000</v>
      </c>
      <c r="AI60" s="739"/>
    </row>
    <row r="61" spans="1:35" ht="15">
      <c r="A61" s="17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874">
        <v>5</v>
      </c>
      <c r="T61" s="83"/>
      <c r="U61" s="364" t="s">
        <v>219</v>
      </c>
      <c r="V61" s="84"/>
      <c r="W61" s="364"/>
      <c r="X61" s="364"/>
      <c r="Y61" s="364"/>
      <c r="Z61" s="368"/>
      <c r="AA61" s="166">
        <v>59000</v>
      </c>
      <c r="AB61" s="166">
        <v>59000</v>
      </c>
      <c r="AC61" s="166">
        <f>Лист1!A1*59800</f>
        <v>65780</v>
      </c>
      <c r="AD61" s="166">
        <f>Лист1!A1*59800</f>
        <v>65780</v>
      </c>
      <c r="AE61" s="166">
        <f>Лист1!A1*71500</f>
        <v>78650</v>
      </c>
      <c r="AF61" s="166">
        <f>Лист1!A1*71500</f>
        <v>78650</v>
      </c>
      <c r="AG61" s="166">
        <f>Лист1!A1*82000</f>
        <v>90200.00000000001</v>
      </c>
      <c r="AH61" s="745">
        <f>Лист1!A1*82000</f>
        <v>90200.00000000001</v>
      </c>
      <c r="AI61" s="739"/>
    </row>
    <row r="62" spans="1:35" ht="15">
      <c r="A62" s="178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477">
        <v>6</v>
      </c>
      <c r="T62" s="83"/>
      <c r="U62" s="364" t="s">
        <v>220</v>
      </c>
      <c r="V62" s="84"/>
      <c r="W62" s="364"/>
      <c r="X62" s="364"/>
      <c r="Y62" s="364"/>
      <c r="Z62" s="368"/>
      <c r="AA62" s="168">
        <f>Лист1!A1*64600</f>
        <v>71060</v>
      </c>
      <c r="AB62" s="168">
        <f>Лист1!A1*64600</f>
        <v>71060</v>
      </c>
      <c r="AC62" s="166">
        <f>Лист1!A1*65900</f>
        <v>72490</v>
      </c>
      <c r="AD62" s="166">
        <f>Лист1!A1*65900</f>
        <v>72490</v>
      </c>
      <c r="AE62" s="166">
        <f>Лист1!A1*71500</f>
        <v>78650</v>
      </c>
      <c r="AF62" s="166">
        <f>Лист1!A1*71500</f>
        <v>78650</v>
      </c>
      <c r="AG62" s="166">
        <f>Лист1!A1*88500</f>
        <v>97350.00000000001</v>
      </c>
      <c r="AH62" s="745">
        <f>Лист1!A1*88500</f>
        <v>97350.00000000001</v>
      </c>
      <c r="AI62" s="739"/>
    </row>
    <row r="63" spans="1:35" ht="15">
      <c r="A63" s="178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877">
        <v>7</v>
      </c>
      <c r="T63" s="83"/>
      <c r="U63" s="364" t="s">
        <v>221</v>
      </c>
      <c r="V63" s="84"/>
      <c r="W63" s="364"/>
      <c r="X63" s="364"/>
      <c r="Y63" s="364"/>
      <c r="Z63" s="368"/>
      <c r="AA63" s="1293">
        <f>Лист1!A1*13300</f>
        <v>14630.000000000002</v>
      </c>
      <c r="AB63" s="1294"/>
      <c r="AC63" s="1294"/>
      <c r="AD63" s="1294"/>
      <c r="AE63" s="1294"/>
      <c r="AF63" s="1294"/>
      <c r="AG63" s="1294"/>
      <c r="AH63" s="1295"/>
      <c r="AI63" s="266"/>
    </row>
    <row r="64" spans="1:35" ht="15">
      <c r="A64" s="178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877">
        <v>8</v>
      </c>
      <c r="T64" s="83"/>
      <c r="U64" s="364" t="s">
        <v>222</v>
      </c>
      <c r="V64" s="84"/>
      <c r="W64" s="364"/>
      <c r="X64" s="364"/>
      <c r="Y64" s="364"/>
      <c r="Z64" s="368"/>
      <c r="AA64" s="168">
        <f>Лист1!A1*26300</f>
        <v>28930.000000000004</v>
      </c>
      <c r="AB64" s="168">
        <f>Лист1!A1*26300</f>
        <v>28930.000000000004</v>
      </c>
      <c r="AC64" s="168">
        <f>Лист1!A1*27000</f>
        <v>29700.000000000004</v>
      </c>
      <c r="AD64" s="168">
        <f>Лист1!A1*27000</f>
        <v>29700.000000000004</v>
      </c>
      <c r="AE64" s="168">
        <f>Лист1!A1*38700</f>
        <v>42570</v>
      </c>
      <c r="AF64" s="168">
        <f>Лист1!A1*38700</f>
        <v>42570</v>
      </c>
      <c r="AG64" s="168">
        <f>Лист1!A1*48700</f>
        <v>53570.00000000001</v>
      </c>
      <c r="AH64" s="744">
        <f>Лист1!A1*48700</f>
        <v>53570.00000000001</v>
      </c>
      <c r="AI64" s="739"/>
    </row>
    <row r="65" spans="1:38" ht="15">
      <c r="A65" s="178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369"/>
      <c r="U65" s="369"/>
      <c r="V65" s="369"/>
      <c r="W65" s="286" t="s">
        <v>223</v>
      </c>
      <c r="X65" s="6"/>
      <c r="Y65" s="6"/>
      <c r="Z65" s="363"/>
      <c r="AA65" s="299"/>
      <c r="AB65" s="299"/>
      <c r="AC65" s="299"/>
      <c r="AD65" s="299"/>
      <c r="AE65" s="299"/>
      <c r="AF65" s="299"/>
      <c r="AG65" s="299"/>
      <c r="AH65" s="370"/>
      <c r="AI65" s="266"/>
      <c r="AL65" s="427"/>
    </row>
    <row r="66" spans="1:35" ht="27" customHeight="1">
      <c r="A66" s="178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369"/>
      <c r="U66" s="477" t="s">
        <v>224</v>
      </c>
      <c r="V66" s="1280" t="s">
        <v>225</v>
      </c>
      <c r="W66" s="1280"/>
      <c r="X66" s="1280"/>
      <c r="Y66" s="1281"/>
      <c r="Z66" s="371"/>
      <c r="AA66" s="372"/>
      <c r="AB66" s="729">
        <f>Лист1!A1*41700</f>
        <v>45870.00000000001</v>
      </c>
      <c r="AC66" s="729">
        <f>Лист1!A1*41000</f>
        <v>45100.00000000001</v>
      </c>
      <c r="AD66" s="730">
        <f>Лист1!A1*45200</f>
        <v>49720.00000000001</v>
      </c>
      <c r="AE66" s="731">
        <f>Лист1!A1*45200</f>
        <v>49720.00000000001</v>
      </c>
      <c r="AF66" s="731">
        <f>Лист1!A1*45200</f>
        <v>49720.00000000001</v>
      </c>
      <c r="AG66" s="731">
        <f>Лист1!A1*48700</f>
        <v>53570.00000000001</v>
      </c>
      <c r="AH66" s="732">
        <f>Лист1!A1*48700</f>
        <v>53570.00000000001</v>
      </c>
      <c r="AI66" s="266"/>
    </row>
    <row r="67" spans="1:35" ht="15">
      <c r="A67" s="19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373"/>
      <c r="Z67" s="374" t="s">
        <v>226</v>
      </c>
      <c r="AA67" s="374"/>
      <c r="AB67" s="375"/>
      <c r="AC67" s="376"/>
      <c r="AD67" s="376"/>
      <c r="AE67" s="376"/>
      <c r="AF67" s="376"/>
      <c r="AG67" s="376"/>
      <c r="AH67" s="376"/>
      <c r="AI67" s="266"/>
    </row>
    <row r="68" spans="1:35" ht="15">
      <c r="A68" s="1282" t="s">
        <v>227</v>
      </c>
      <c r="B68" s="1283"/>
      <c r="C68" s="1283"/>
      <c r="D68" s="1283"/>
      <c r="E68" s="1283"/>
      <c r="F68" s="1283"/>
      <c r="G68" s="1283"/>
      <c r="H68" s="1283"/>
      <c r="I68" s="1283"/>
      <c r="J68" s="1283"/>
      <c r="K68" s="1283"/>
      <c r="L68" s="1283"/>
      <c r="M68" s="1283"/>
      <c r="N68" s="1283"/>
      <c r="O68" s="1283"/>
      <c r="P68" s="1283"/>
      <c r="Q68" s="1283"/>
      <c r="R68" s="1283"/>
      <c r="S68" s="1283"/>
      <c r="T68" s="1283"/>
      <c r="U68" s="1283"/>
      <c r="V68" s="1283"/>
      <c r="W68" s="1283"/>
      <c r="X68" s="6"/>
      <c r="Y68" s="87" t="s">
        <v>228</v>
      </c>
      <c r="Z68" s="377" t="s">
        <v>53</v>
      </c>
      <c r="AA68" s="377" t="s">
        <v>54</v>
      </c>
      <c r="AB68" s="377" t="s">
        <v>55</v>
      </c>
      <c r="AC68" s="377" t="s">
        <v>56</v>
      </c>
      <c r="AD68" s="378"/>
      <c r="AE68" s="379"/>
      <c r="AF68" s="379" t="s">
        <v>36</v>
      </c>
      <c r="AG68" s="379"/>
      <c r="AH68" s="380"/>
      <c r="AI68" s="266"/>
    </row>
    <row r="69" spans="1:35" ht="15">
      <c r="A69" s="921" t="s">
        <v>26</v>
      </c>
      <c r="B69" s="89"/>
      <c r="C69" s="922" t="s">
        <v>32</v>
      </c>
      <c r="D69" s="89"/>
      <c r="E69" s="922">
        <v>4</v>
      </c>
      <c r="F69" s="89"/>
      <c r="G69" s="923">
        <v>4</v>
      </c>
      <c r="H69" s="89"/>
      <c r="I69" s="922">
        <v>1</v>
      </c>
      <c r="J69" s="205" t="s">
        <v>36</v>
      </c>
      <c r="K69" s="922">
        <v>2</v>
      </c>
      <c r="L69" s="89"/>
      <c r="M69" s="922">
        <v>1</v>
      </c>
      <c r="N69" s="224"/>
      <c r="O69" s="922">
        <v>0</v>
      </c>
      <c r="P69" s="88"/>
      <c r="Q69" s="924" t="s">
        <v>229</v>
      </c>
      <c r="R69" s="16"/>
      <c r="S69" s="924">
        <v>3</v>
      </c>
      <c r="T69" s="6"/>
      <c r="U69" s="924" t="s">
        <v>224</v>
      </c>
      <c r="V69" s="16" t="s">
        <v>36</v>
      </c>
      <c r="W69" s="924" t="s">
        <v>57</v>
      </c>
      <c r="X69" s="6"/>
      <c r="Y69" s="87" t="s">
        <v>230</v>
      </c>
      <c r="Z69" s="377" t="s">
        <v>59</v>
      </c>
      <c r="AA69" s="377" t="s">
        <v>60</v>
      </c>
      <c r="AB69" s="377" t="s">
        <v>61</v>
      </c>
      <c r="AC69" s="377" t="s">
        <v>62</v>
      </c>
      <c r="AD69" s="377" t="s">
        <v>63</v>
      </c>
      <c r="AE69" s="377" t="s">
        <v>64</v>
      </c>
      <c r="AF69" s="377" t="s">
        <v>65</v>
      </c>
      <c r="AG69" s="377" t="s">
        <v>66</v>
      </c>
      <c r="AH69" s="377" t="s">
        <v>67</v>
      </c>
      <c r="AI69" s="266"/>
    </row>
    <row r="70" spans="1:35" ht="15">
      <c r="A70" s="228"/>
      <c r="B70" s="89"/>
      <c r="C70" s="90"/>
      <c r="D70" s="89"/>
      <c r="E70" s="91"/>
      <c r="F70" s="89"/>
      <c r="G70" s="91"/>
      <c r="H70" s="89"/>
      <c r="I70" s="91"/>
      <c r="J70" s="89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95"/>
      <c r="X70" s="6"/>
      <c r="Y70" s="6"/>
      <c r="Z70" s="6"/>
      <c r="AA70" s="222"/>
      <c r="AB70" s="58"/>
      <c r="AC70" s="381"/>
      <c r="AD70" s="381"/>
      <c r="AE70" s="58"/>
      <c r="AF70" s="58"/>
      <c r="AG70" s="58"/>
      <c r="AH70" s="58"/>
      <c r="AI70" s="266"/>
    </row>
    <row r="71" spans="1:35" ht="15">
      <c r="A71" s="178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96"/>
      <c r="X71" s="327" t="s">
        <v>231</v>
      </c>
      <c r="Y71" s="87"/>
      <c r="Z71" s="87"/>
      <c r="AA71" s="181"/>
      <c r="AB71" s="181"/>
      <c r="AC71" s="181"/>
      <c r="AD71" s="181"/>
      <c r="AE71" s="181"/>
      <c r="AF71" s="181"/>
      <c r="AG71" s="181"/>
      <c r="AH71" s="181"/>
      <c r="AI71" s="266"/>
    </row>
    <row r="72" spans="1:35" ht="15">
      <c r="A72" s="178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857" t="s">
        <v>57</v>
      </c>
      <c r="X72" s="382" t="s">
        <v>232</v>
      </c>
      <c r="Y72" s="383"/>
      <c r="Z72" s="384"/>
      <c r="AA72" s="181"/>
      <c r="AB72" s="181"/>
      <c r="AC72" s="181"/>
      <c r="AD72" s="181"/>
      <c r="AE72" s="181"/>
      <c r="AF72" s="181"/>
      <c r="AG72" s="181"/>
      <c r="AH72" s="373"/>
      <c r="AI72" s="266"/>
    </row>
    <row r="73" spans="1:35" ht="15">
      <c r="A73" s="230"/>
      <c r="B73" s="89"/>
      <c r="C73" s="231"/>
      <c r="D73" s="89"/>
      <c r="E73" s="91"/>
      <c r="F73" s="89"/>
      <c r="G73" s="91"/>
      <c r="H73" s="89"/>
      <c r="I73" s="91"/>
      <c r="J73" s="89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925" t="s">
        <v>68</v>
      </c>
      <c r="X73" s="382" t="s">
        <v>233</v>
      </c>
      <c r="Y73" s="385"/>
      <c r="Z73" s="386"/>
      <c r="AA73" s="181"/>
      <c r="AB73" s="181"/>
      <c r="AC73" s="181"/>
      <c r="AD73" s="181"/>
      <c r="AE73" s="181"/>
      <c r="AF73" s="181"/>
      <c r="AG73" s="181"/>
      <c r="AH73" s="181"/>
      <c r="AI73" s="266"/>
    </row>
    <row r="74" spans="1:35" ht="15">
      <c r="A74" s="387"/>
      <c r="B74" s="373"/>
      <c r="C74" s="13"/>
      <c r="D74" s="373"/>
      <c r="E74" s="373"/>
      <c r="F74" s="373"/>
      <c r="G74" s="373"/>
      <c r="H74" s="373"/>
      <c r="I74" s="373"/>
      <c r="J74" s="373"/>
      <c r="K74" s="373"/>
      <c r="L74" s="373"/>
      <c r="M74" s="373"/>
      <c r="N74" s="373"/>
      <c r="O74" s="373"/>
      <c r="P74" s="373"/>
      <c r="Q74" s="373"/>
      <c r="R74" s="373"/>
      <c r="S74" s="373"/>
      <c r="T74" s="373"/>
      <c r="U74" s="373"/>
      <c r="V74" s="373"/>
      <c r="W74" s="373"/>
      <c r="X74" s="373"/>
      <c r="Y74" s="373"/>
      <c r="Z74" s="373"/>
      <c r="AA74" s="373"/>
      <c r="AB74" s="373"/>
      <c r="AC74" s="373"/>
      <c r="AD74" s="373"/>
      <c r="AE74" s="373"/>
      <c r="AF74" s="373"/>
      <c r="AG74" s="373"/>
      <c r="AH74" s="373"/>
      <c r="AI74" s="266"/>
    </row>
    <row r="75" spans="1:35" ht="15.75" thickBot="1">
      <c r="A75" s="388"/>
      <c r="B75" s="389"/>
      <c r="C75" s="240"/>
      <c r="D75" s="389"/>
      <c r="E75" s="389"/>
      <c r="F75" s="389"/>
      <c r="G75" s="389"/>
      <c r="H75" s="389"/>
      <c r="I75" s="389"/>
      <c r="J75" s="389"/>
      <c r="K75" s="389"/>
      <c r="L75" s="389"/>
      <c r="M75" s="389"/>
      <c r="N75" s="389"/>
      <c r="O75" s="389"/>
      <c r="P75" s="389"/>
      <c r="Q75" s="389"/>
      <c r="R75" s="389"/>
      <c r="S75" s="468" t="s">
        <v>234</v>
      </c>
      <c r="T75" s="389"/>
      <c r="U75" s="389"/>
      <c r="V75" s="389"/>
      <c r="W75" s="389"/>
      <c r="X75" s="389"/>
      <c r="Y75" s="389"/>
      <c r="Z75" s="389"/>
      <c r="AA75" s="389"/>
      <c r="AB75" s="389"/>
      <c r="AC75" s="389"/>
      <c r="AD75" s="389"/>
      <c r="AE75" s="389"/>
      <c r="AF75" s="389"/>
      <c r="AG75" s="389"/>
      <c r="AH75" s="389"/>
      <c r="AI75" s="390"/>
    </row>
    <row r="76" spans="1:35" ht="1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</row>
    <row r="77" spans="1:35" ht="1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</row>
    <row r="78" spans="1:35" ht="1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</row>
    <row r="79" spans="1:35" ht="1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</row>
  </sheetData>
  <sheetProtection password="C651" sheet="1" objects="1" scenarios="1"/>
  <mergeCells count="49">
    <mergeCell ref="Z49:AH49"/>
    <mergeCell ref="AA51:AH51"/>
    <mergeCell ref="AA52:AH52"/>
    <mergeCell ref="AA53:AH53"/>
    <mergeCell ref="AA54:AH54"/>
    <mergeCell ref="J54:P54"/>
    <mergeCell ref="S54:Y54"/>
    <mergeCell ref="J51:P51"/>
    <mergeCell ref="S51:Y51"/>
    <mergeCell ref="J52:P52"/>
    <mergeCell ref="V66:Y66"/>
    <mergeCell ref="A68:W68"/>
    <mergeCell ref="S55:Y55"/>
    <mergeCell ref="AA56:AH56"/>
    <mergeCell ref="U57:Y57"/>
    <mergeCell ref="U58:Y58"/>
    <mergeCell ref="U60:Y60"/>
    <mergeCell ref="AA63:AH63"/>
    <mergeCell ref="S52:Y52"/>
    <mergeCell ref="J53:P53"/>
    <mergeCell ref="S53:Y53"/>
    <mergeCell ref="O41:Y41"/>
    <mergeCell ref="O42:Y42"/>
    <mergeCell ref="A38:K40"/>
    <mergeCell ref="O44:Y44"/>
    <mergeCell ref="Z44:AH44"/>
    <mergeCell ref="Q46:Y46"/>
    <mergeCell ref="K32:Y32"/>
    <mergeCell ref="K33:Y33"/>
    <mergeCell ref="M35:Y35"/>
    <mergeCell ref="O37:Y37"/>
    <mergeCell ref="O38:Y38"/>
    <mergeCell ref="O40:Y40"/>
    <mergeCell ref="G22:Y22"/>
    <mergeCell ref="G23:Y23"/>
    <mergeCell ref="G24:Y24"/>
    <mergeCell ref="G25:Y25"/>
    <mergeCell ref="O39:Y39"/>
    <mergeCell ref="O43:Y43"/>
    <mergeCell ref="I27:Y27"/>
    <mergeCell ref="I28:Y28"/>
    <mergeCell ref="K30:Y30"/>
    <mergeCell ref="K31:Y31"/>
    <mergeCell ref="G2:AC2"/>
    <mergeCell ref="G3:AD3"/>
    <mergeCell ref="C10:F10"/>
    <mergeCell ref="E15:Y15"/>
    <mergeCell ref="E17:Y17"/>
    <mergeCell ref="E18:Y18"/>
  </mergeCells>
  <hyperlinks>
    <hyperlink ref="AE2" r:id="rId1" display="www.darkont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showGridLines="0" zoomScalePageLayoutView="0" workbookViewId="0" topLeftCell="A1">
      <selection activeCell="Y18" sqref="Y18"/>
    </sheetView>
  </sheetViews>
  <sheetFormatPr defaultColWidth="9.140625" defaultRowHeight="15"/>
  <cols>
    <col min="1" max="1" width="5.8515625" style="0" customWidth="1"/>
    <col min="2" max="2" width="0.2890625" style="0" customWidth="1"/>
    <col min="3" max="3" width="2.7109375" style="0" customWidth="1"/>
    <col min="4" max="4" width="0.42578125" style="0" customWidth="1"/>
    <col min="5" max="5" width="2.7109375" style="0" customWidth="1"/>
    <col min="6" max="6" width="0.42578125" style="0" customWidth="1"/>
    <col min="7" max="7" width="2.7109375" style="0" customWidth="1"/>
    <col min="8" max="8" width="0.5625" style="0" customWidth="1"/>
    <col min="9" max="9" width="2.7109375" style="0" customWidth="1"/>
    <col min="10" max="10" width="0.9921875" style="0" customWidth="1"/>
    <col min="11" max="11" width="2.7109375" style="0" customWidth="1"/>
    <col min="12" max="12" width="0.42578125" style="0" customWidth="1"/>
    <col min="13" max="13" width="2.7109375" style="0" customWidth="1"/>
    <col min="14" max="14" width="0.5625" style="0" customWidth="1"/>
    <col min="15" max="15" width="2.7109375" style="0" customWidth="1"/>
    <col min="16" max="16" width="0.71875" style="0" customWidth="1"/>
    <col min="17" max="17" width="2.7109375" style="0" customWidth="1"/>
    <col min="18" max="18" width="0.9921875" style="0" customWidth="1"/>
    <col min="19" max="19" width="2.7109375" style="0" customWidth="1"/>
    <col min="20" max="20" width="2.28125" style="0" customWidth="1"/>
    <col min="21" max="21" width="3.8515625" style="0" customWidth="1"/>
    <col min="23" max="23" width="31.00390625" style="0" customWidth="1"/>
    <col min="24" max="24" width="11.57421875" style="151" customWidth="1"/>
    <col min="25" max="25" width="12.8515625" style="151" customWidth="1"/>
  </cols>
  <sheetData>
    <row r="1" spans="1:25" ht="15" customHeight="1">
      <c r="A1" s="887"/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  <c r="V1" s="887"/>
      <c r="W1" s="887"/>
      <c r="X1" s="476" t="s">
        <v>152</v>
      </c>
      <c r="Y1" s="934"/>
    </row>
    <row r="2" spans="1:26" ht="16.5" customHeight="1">
      <c r="A2" s="887"/>
      <c r="B2" s="887"/>
      <c r="C2" s="887"/>
      <c r="D2" s="887"/>
      <c r="E2" s="887"/>
      <c r="F2" s="887"/>
      <c r="G2" s="887"/>
      <c r="H2" s="887"/>
      <c r="I2" s="887"/>
      <c r="J2" s="887"/>
      <c r="K2" s="935" t="s">
        <v>621</v>
      </c>
      <c r="L2" s="887"/>
      <c r="M2" s="887"/>
      <c r="N2" s="887"/>
      <c r="O2" s="887"/>
      <c r="P2" s="887"/>
      <c r="Q2" s="887"/>
      <c r="R2" s="887"/>
      <c r="S2" s="887"/>
      <c r="T2" s="887"/>
      <c r="U2" s="887"/>
      <c r="V2" s="887"/>
      <c r="W2" s="887"/>
      <c r="X2" s="818" t="s">
        <v>165</v>
      </c>
      <c r="Y2" s="936"/>
      <c r="Z2" s="650"/>
    </row>
    <row r="3" spans="1:25" ht="15" customHeight="1">
      <c r="A3" s="480"/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2"/>
      <c r="M3" s="1237" t="s">
        <v>164</v>
      </c>
      <c r="N3" s="1237"/>
      <c r="O3" s="1237"/>
      <c r="P3" s="1237"/>
      <c r="Q3" s="1237"/>
      <c r="R3" s="1237"/>
      <c r="S3" s="1237"/>
      <c r="T3" s="1237"/>
      <c r="U3" s="1237"/>
      <c r="V3" s="1237"/>
      <c r="W3" s="1237"/>
      <c r="X3" s="963" t="s">
        <v>624</v>
      </c>
      <c r="Y3" s="481"/>
    </row>
    <row r="4" spans="1:25" ht="15">
      <c r="A4" s="391"/>
      <c r="B4" s="391"/>
      <c r="C4" s="398" t="s">
        <v>153</v>
      </c>
      <c r="D4" s="60"/>
      <c r="E4" s="60"/>
      <c r="F4" s="60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1159"/>
      <c r="S4" s="1159"/>
      <c r="T4" s="1159"/>
      <c r="U4" s="1159"/>
      <c r="V4" s="1160"/>
      <c r="W4" s="1160"/>
      <c r="X4" s="182"/>
      <c r="Y4" s="395"/>
    </row>
    <row r="5" spans="1:25" ht="15">
      <c r="A5" s="910" t="s">
        <v>236</v>
      </c>
      <c r="B5" s="5"/>
      <c r="C5" s="1309" t="s">
        <v>70</v>
      </c>
      <c r="D5" s="1310"/>
      <c r="E5" s="1310"/>
      <c r="F5" s="1310"/>
      <c r="G5" s="1310"/>
      <c r="H5" s="1310"/>
      <c r="I5" s="1310"/>
      <c r="J5" s="1310"/>
      <c r="K5" s="1310"/>
      <c r="L5" s="1310"/>
      <c r="M5" s="1310"/>
      <c r="N5" s="1310"/>
      <c r="O5" s="1310"/>
      <c r="P5" s="1310"/>
      <c r="Q5" s="1310"/>
      <c r="R5" s="1310"/>
      <c r="S5" s="1156" t="s">
        <v>4</v>
      </c>
      <c r="T5" s="1157"/>
      <c r="U5" s="127"/>
      <c r="V5" s="1156" t="s">
        <v>115</v>
      </c>
      <c r="W5" s="1158"/>
      <c r="X5" s="950" t="s">
        <v>5</v>
      </c>
      <c r="Y5" s="396"/>
    </row>
    <row r="6" spans="1:25" ht="15">
      <c r="A6" s="910" t="s">
        <v>237</v>
      </c>
      <c r="B6" s="2"/>
      <c r="C6" s="1311" t="s">
        <v>71</v>
      </c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8"/>
      <c r="P6" s="1268"/>
      <c r="Q6" s="1268"/>
      <c r="R6" s="1312"/>
      <c r="S6" s="1147" t="s">
        <v>7</v>
      </c>
      <c r="T6" s="3"/>
      <c r="U6" s="110"/>
      <c r="V6" s="99" t="s">
        <v>116</v>
      </c>
      <c r="W6" s="99"/>
      <c r="X6" s="949"/>
      <c r="Y6" s="948" t="s">
        <v>8</v>
      </c>
    </row>
    <row r="7" spans="1:25" ht="15">
      <c r="A7" s="397"/>
      <c r="B7" s="393"/>
      <c r="C7" s="13"/>
      <c r="D7" s="393"/>
      <c r="E7" s="398" t="s">
        <v>69</v>
      </c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5"/>
      <c r="X7" s="1148"/>
      <c r="Y7" s="1149"/>
    </row>
    <row r="8" spans="1:25" ht="15">
      <c r="A8" s="397"/>
      <c r="B8" s="393"/>
      <c r="C8" s="908" t="s">
        <v>30</v>
      </c>
      <c r="D8" s="2"/>
      <c r="E8" s="1212" t="s">
        <v>81</v>
      </c>
      <c r="F8" s="1212"/>
      <c r="G8" s="1212"/>
      <c r="H8" s="1212"/>
      <c r="I8" s="1212"/>
      <c r="J8" s="1212"/>
      <c r="K8" s="1212"/>
      <c r="L8" s="1212"/>
      <c r="M8" s="1212"/>
      <c r="N8" s="1212"/>
      <c r="O8" s="1212"/>
      <c r="P8" s="1212"/>
      <c r="Q8" s="1212"/>
      <c r="R8" s="1212"/>
      <c r="S8" s="1212"/>
      <c r="T8" s="1212"/>
      <c r="U8" s="1212"/>
      <c r="V8" s="1212"/>
      <c r="W8" s="1213"/>
      <c r="X8" s="18" t="s">
        <v>36</v>
      </c>
      <c r="Y8" s="399">
        <f>Лист1!A1*10800</f>
        <v>11880.000000000002</v>
      </c>
    </row>
    <row r="9" spans="1:25" ht="15">
      <c r="A9" s="397"/>
      <c r="B9" s="393"/>
      <c r="C9" s="910" t="s">
        <v>32</v>
      </c>
      <c r="D9" s="2"/>
      <c r="E9" s="1212" t="s">
        <v>144</v>
      </c>
      <c r="F9" s="1212"/>
      <c r="G9" s="1212"/>
      <c r="H9" s="1212"/>
      <c r="I9" s="1212"/>
      <c r="J9" s="1212"/>
      <c r="K9" s="1212"/>
      <c r="L9" s="1212"/>
      <c r="M9" s="1212"/>
      <c r="N9" s="1212"/>
      <c r="O9" s="1212"/>
      <c r="P9" s="1212"/>
      <c r="Q9" s="1212"/>
      <c r="R9" s="1212"/>
      <c r="S9" s="1212"/>
      <c r="T9" s="1212"/>
      <c r="U9" s="1212"/>
      <c r="V9" s="1212"/>
      <c r="W9" s="1213"/>
      <c r="X9" s="400">
        <f>Лист1!A1*11700</f>
        <v>12870.000000000002</v>
      </c>
      <c r="Y9" s="401">
        <f>Лист1!A1*12500</f>
        <v>13750.000000000002</v>
      </c>
    </row>
    <row r="10" spans="1:25" ht="3" customHeight="1">
      <c r="A10" s="397"/>
      <c r="B10" s="393"/>
      <c r="C10" s="397"/>
      <c r="D10" s="33"/>
      <c r="E10" s="402"/>
      <c r="F10" s="13"/>
      <c r="G10" s="39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34"/>
      <c r="X10" s="138"/>
      <c r="Y10" s="403"/>
    </row>
    <row r="11" spans="1:25" ht="24" customHeight="1">
      <c r="A11" s="397"/>
      <c r="B11" s="393"/>
      <c r="C11" s="397"/>
      <c r="D11" s="393"/>
      <c r="E11" s="13"/>
      <c r="F11" s="13"/>
      <c r="G11" s="404" t="s">
        <v>83</v>
      </c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5"/>
      <c r="X11" s="1307" t="s">
        <v>158</v>
      </c>
      <c r="Y11" s="1308"/>
    </row>
    <row r="12" spans="1:25" ht="15.75" customHeight="1">
      <c r="A12" s="397"/>
      <c r="B12" s="393"/>
      <c r="C12" s="397"/>
      <c r="D12" s="393"/>
      <c r="E12" s="911">
        <v>5</v>
      </c>
      <c r="F12" s="9"/>
      <c r="G12" s="1177" t="s">
        <v>238</v>
      </c>
      <c r="H12" s="1177"/>
      <c r="I12" s="1177"/>
      <c r="J12" s="1177"/>
      <c r="K12" s="1177"/>
      <c r="L12" s="1177"/>
      <c r="M12" s="1177"/>
      <c r="N12" s="1177"/>
      <c r="O12" s="1177"/>
      <c r="P12" s="1177"/>
      <c r="Q12" s="1177"/>
      <c r="R12" s="1177"/>
      <c r="S12" s="1177"/>
      <c r="T12" s="1177"/>
      <c r="U12" s="1177"/>
      <c r="V12" s="1177"/>
      <c r="W12" s="1178"/>
      <c r="X12" s="1162"/>
      <c r="Y12" s="1313"/>
    </row>
    <row r="13" spans="1:25" ht="15">
      <c r="A13" s="397"/>
      <c r="B13" s="393"/>
      <c r="C13" s="397"/>
      <c r="D13" s="393"/>
      <c r="E13" s="397"/>
      <c r="F13" s="393"/>
      <c r="G13" s="13"/>
      <c r="H13" s="393"/>
      <c r="I13" s="392" t="s">
        <v>85</v>
      </c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43"/>
      <c r="X13" s="44"/>
      <c r="Y13" s="312"/>
    </row>
    <row r="14" spans="1:25" ht="15" customHeight="1">
      <c r="A14" s="397"/>
      <c r="B14" s="393"/>
      <c r="C14" s="393"/>
      <c r="D14" s="393"/>
      <c r="E14" s="397"/>
      <c r="F14" s="393"/>
      <c r="G14" s="908">
        <v>1</v>
      </c>
      <c r="H14" s="2"/>
      <c r="I14" s="1202" t="s">
        <v>160</v>
      </c>
      <c r="J14" s="1202"/>
      <c r="K14" s="1202"/>
      <c r="L14" s="1202"/>
      <c r="M14" s="1202"/>
      <c r="N14" s="1202"/>
      <c r="O14" s="1202"/>
      <c r="P14" s="1202"/>
      <c r="Q14" s="1202"/>
      <c r="R14" s="1202"/>
      <c r="S14" s="1202"/>
      <c r="T14" s="1202"/>
      <c r="U14" s="1202"/>
      <c r="V14" s="1202"/>
      <c r="W14" s="1203"/>
      <c r="X14" s="1150"/>
      <c r="Y14" s="1151"/>
    </row>
    <row r="15" spans="1:25" ht="15">
      <c r="A15" s="397"/>
      <c r="B15" s="393"/>
      <c r="C15" s="397"/>
      <c r="D15" s="393"/>
      <c r="E15" s="397"/>
      <c r="F15" s="393"/>
      <c r="G15" s="397"/>
      <c r="H15" s="393"/>
      <c r="I15" s="13"/>
      <c r="J15" s="393"/>
      <c r="K15" s="392" t="s">
        <v>87</v>
      </c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14"/>
      <c r="X15" s="44"/>
      <c r="Y15" s="312"/>
    </row>
    <row r="16" spans="1:25" ht="15">
      <c r="A16" s="397"/>
      <c r="B16" s="393"/>
      <c r="C16" s="397"/>
      <c r="D16" s="393"/>
      <c r="E16" s="397"/>
      <c r="F16" s="393"/>
      <c r="G16" s="397"/>
      <c r="H16" s="393"/>
      <c r="I16" s="911">
        <v>1</v>
      </c>
      <c r="J16" s="5"/>
      <c r="K16" s="1184" t="s">
        <v>88</v>
      </c>
      <c r="L16" s="1184"/>
      <c r="M16" s="1184"/>
      <c r="N16" s="1184"/>
      <c r="O16" s="1184"/>
      <c r="P16" s="1184"/>
      <c r="Q16" s="1184"/>
      <c r="R16" s="1184"/>
      <c r="S16" s="1184"/>
      <c r="T16" s="1184"/>
      <c r="U16" s="1184"/>
      <c r="V16" s="1184"/>
      <c r="W16" s="1185"/>
      <c r="X16" s="1314"/>
      <c r="Y16" s="1315"/>
    </row>
    <row r="17" spans="1:27" ht="15">
      <c r="A17" s="397"/>
      <c r="B17" s="393"/>
      <c r="C17" s="397"/>
      <c r="D17" s="393"/>
      <c r="E17" s="397"/>
      <c r="F17" s="393"/>
      <c r="G17" s="397"/>
      <c r="H17" s="393"/>
      <c r="I17" s="910">
        <v>2</v>
      </c>
      <c r="J17" s="2"/>
      <c r="K17" s="1196" t="s">
        <v>89</v>
      </c>
      <c r="L17" s="1196"/>
      <c r="M17" s="1196"/>
      <c r="N17" s="1196"/>
      <c r="O17" s="1196"/>
      <c r="P17" s="1196"/>
      <c r="Q17" s="1196"/>
      <c r="R17" s="1196"/>
      <c r="S17" s="1196"/>
      <c r="T17" s="1196"/>
      <c r="U17" s="1196"/>
      <c r="V17" s="1196"/>
      <c r="W17" s="1197"/>
      <c r="X17" s="1314"/>
      <c r="Y17" s="1315"/>
      <c r="AA17" s="427"/>
    </row>
    <row r="18" spans="1:25" ht="15">
      <c r="A18" s="397"/>
      <c r="B18" s="393"/>
      <c r="C18" s="397"/>
      <c r="D18" s="393"/>
      <c r="E18" s="397"/>
      <c r="F18" s="393"/>
      <c r="G18" s="397"/>
      <c r="H18" s="393"/>
      <c r="I18" s="910">
        <v>3</v>
      </c>
      <c r="J18" s="2"/>
      <c r="K18" s="1187" t="s">
        <v>90</v>
      </c>
      <c r="L18" s="1187"/>
      <c r="M18" s="1187"/>
      <c r="N18" s="1187"/>
      <c r="O18" s="1187"/>
      <c r="P18" s="1187"/>
      <c r="Q18" s="1187"/>
      <c r="R18" s="1187"/>
      <c r="S18" s="1187"/>
      <c r="T18" s="1187"/>
      <c r="U18" s="1187"/>
      <c r="V18" s="1187"/>
      <c r="W18" s="1188"/>
      <c r="X18" s="177">
        <f>Лист1!A1*720</f>
        <v>792.0000000000001</v>
      </c>
      <c r="Y18" s="405">
        <f>Лист1!A1*930</f>
        <v>1023.0000000000001</v>
      </c>
    </row>
    <row r="19" spans="1:25" ht="15">
      <c r="A19" s="397"/>
      <c r="B19" s="393"/>
      <c r="C19" s="397"/>
      <c r="D19" s="393"/>
      <c r="E19" s="397"/>
      <c r="F19" s="393"/>
      <c r="G19" s="397"/>
      <c r="H19" s="393"/>
      <c r="I19" s="911">
        <v>4</v>
      </c>
      <c r="J19" s="9"/>
      <c r="K19" s="1187" t="s">
        <v>93</v>
      </c>
      <c r="L19" s="1187"/>
      <c r="M19" s="1187"/>
      <c r="N19" s="1187"/>
      <c r="O19" s="1187"/>
      <c r="P19" s="1187"/>
      <c r="Q19" s="1187"/>
      <c r="R19" s="1187"/>
      <c r="S19" s="1187"/>
      <c r="T19" s="1187"/>
      <c r="U19" s="1187"/>
      <c r="V19" s="1187"/>
      <c r="W19" s="1188"/>
      <c r="X19" s="1314"/>
      <c r="Y19" s="1315"/>
    </row>
    <row r="20" spans="1:25" ht="15">
      <c r="A20" s="397"/>
      <c r="B20" s="393"/>
      <c r="C20" s="397"/>
      <c r="D20" s="393"/>
      <c r="E20" s="397"/>
      <c r="F20" s="393"/>
      <c r="G20" s="397"/>
      <c r="H20" s="393"/>
      <c r="I20" s="397"/>
      <c r="J20" s="393"/>
      <c r="K20" s="13"/>
      <c r="L20" s="393"/>
      <c r="M20" s="392" t="s">
        <v>91</v>
      </c>
      <c r="N20" s="393"/>
      <c r="O20" s="393"/>
      <c r="P20" s="393"/>
      <c r="Q20" s="393"/>
      <c r="R20" s="393"/>
      <c r="S20" s="393"/>
      <c r="T20" s="393"/>
      <c r="U20" s="393"/>
      <c r="V20" s="393"/>
      <c r="W20" s="43"/>
      <c r="X20" s="50"/>
      <c r="Y20" s="323"/>
    </row>
    <row r="21" spans="1:25" ht="15">
      <c r="A21" s="397"/>
      <c r="B21" s="393"/>
      <c r="C21" s="397"/>
      <c r="D21" s="393"/>
      <c r="E21" s="397"/>
      <c r="F21" s="393"/>
      <c r="G21" s="397"/>
      <c r="H21" s="393"/>
      <c r="I21" s="397"/>
      <c r="J21" s="406" t="s">
        <v>36</v>
      </c>
      <c r="K21" s="912">
        <v>2</v>
      </c>
      <c r="L21" s="51"/>
      <c r="M21" s="1191" t="s">
        <v>92</v>
      </c>
      <c r="N21" s="1192"/>
      <c r="O21" s="1192"/>
      <c r="P21" s="1192"/>
      <c r="Q21" s="1192"/>
      <c r="R21" s="1192"/>
      <c r="S21" s="1192"/>
      <c r="T21" s="1192"/>
      <c r="U21" s="1192"/>
      <c r="V21" s="1192"/>
      <c r="W21" s="1193"/>
      <c r="X21" s="1314"/>
      <c r="Y21" s="1315"/>
    </row>
    <row r="22" spans="1:25" ht="15">
      <c r="A22" s="397"/>
      <c r="B22" s="393"/>
      <c r="C22" s="397"/>
      <c r="D22" s="393"/>
      <c r="E22" s="397"/>
      <c r="F22" s="393"/>
      <c r="G22" s="397"/>
      <c r="H22" s="393"/>
      <c r="I22" s="397"/>
      <c r="J22" s="393"/>
      <c r="K22" s="397"/>
      <c r="L22" s="393"/>
      <c r="M22" s="13"/>
      <c r="N22" s="393"/>
      <c r="O22" s="407" t="s">
        <v>95</v>
      </c>
      <c r="P22" s="408"/>
      <c r="Q22" s="393"/>
      <c r="R22" s="393"/>
      <c r="S22" s="393"/>
      <c r="T22" s="393"/>
      <c r="U22" s="393"/>
      <c r="V22" s="393"/>
      <c r="W22" s="14"/>
      <c r="X22" s="53"/>
      <c r="Y22" s="325"/>
    </row>
    <row r="23" spans="1:25" ht="15">
      <c r="A23" s="397"/>
      <c r="B23" s="393"/>
      <c r="C23" s="397"/>
      <c r="D23" s="393"/>
      <c r="E23" s="397"/>
      <c r="F23" s="393"/>
      <c r="G23" s="397"/>
      <c r="H23" s="393"/>
      <c r="I23" s="397"/>
      <c r="J23" s="393"/>
      <c r="K23" s="397"/>
      <c r="L23" s="393"/>
      <c r="M23" s="857">
        <v>1</v>
      </c>
      <c r="N23" s="5"/>
      <c r="O23" s="1187" t="s">
        <v>239</v>
      </c>
      <c r="P23" s="1187"/>
      <c r="Q23" s="1187"/>
      <c r="R23" s="1187"/>
      <c r="S23" s="1187"/>
      <c r="T23" s="1187"/>
      <c r="U23" s="1187"/>
      <c r="V23" s="1187"/>
      <c r="W23" s="1188"/>
      <c r="X23" s="1314"/>
      <c r="Y23" s="1315"/>
    </row>
    <row r="24" spans="1:25" ht="15">
      <c r="A24" s="397"/>
      <c r="B24" s="393"/>
      <c r="C24" s="397"/>
      <c r="D24" s="393"/>
      <c r="E24" s="397"/>
      <c r="F24" s="393"/>
      <c r="G24" s="397"/>
      <c r="H24" s="393"/>
      <c r="I24" s="397"/>
      <c r="J24" s="393"/>
      <c r="K24" s="397"/>
      <c r="L24" s="393"/>
      <c r="M24" s="914">
        <v>2</v>
      </c>
      <c r="N24" s="2"/>
      <c r="O24" s="1187" t="s">
        <v>96</v>
      </c>
      <c r="P24" s="1187"/>
      <c r="Q24" s="1187"/>
      <c r="R24" s="1187"/>
      <c r="S24" s="1187"/>
      <c r="T24" s="1187"/>
      <c r="U24" s="1187"/>
      <c r="V24" s="1187"/>
      <c r="W24" s="1188"/>
      <c r="X24" s="1314"/>
      <c r="Y24" s="1315"/>
    </row>
    <row r="25" spans="1:25" ht="51" customHeight="1">
      <c r="A25" s="397"/>
      <c r="B25" s="393"/>
      <c r="C25" s="397"/>
      <c r="D25" s="393"/>
      <c r="E25" s="397"/>
      <c r="F25" s="393"/>
      <c r="G25" s="397"/>
      <c r="H25" s="393"/>
      <c r="I25" s="397"/>
      <c r="J25" s="393"/>
      <c r="K25" s="397"/>
      <c r="L25" s="393"/>
      <c r="M25" s="857">
        <v>9</v>
      </c>
      <c r="N25" s="9"/>
      <c r="O25" s="1194" t="s">
        <v>100</v>
      </c>
      <c r="P25" s="1194"/>
      <c r="Q25" s="1194"/>
      <c r="R25" s="1194"/>
      <c r="S25" s="1194"/>
      <c r="T25" s="1194"/>
      <c r="U25" s="1194"/>
      <c r="V25" s="1194"/>
      <c r="W25" s="1195"/>
      <c r="X25" s="1305" t="s">
        <v>133</v>
      </c>
      <c r="Y25" s="1306"/>
    </row>
    <row r="26" spans="1:25" ht="12" customHeight="1">
      <c r="A26" s="397"/>
      <c r="B26" s="393"/>
      <c r="C26" s="397"/>
      <c r="D26" s="393"/>
      <c r="E26" s="397"/>
      <c r="F26" s="393"/>
      <c r="G26" s="397"/>
      <c r="H26" s="393"/>
      <c r="I26" s="397"/>
      <c r="J26" s="393"/>
      <c r="K26" s="397"/>
      <c r="L26" s="393"/>
      <c r="M26" s="409"/>
      <c r="N26" s="410"/>
      <c r="O26" s="411"/>
      <c r="P26" s="393"/>
      <c r="Q26" s="412" t="s">
        <v>101</v>
      </c>
      <c r="R26" s="413"/>
      <c r="S26" s="413"/>
      <c r="T26" s="413"/>
      <c r="U26" s="413"/>
      <c r="V26" s="413"/>
      <c r="W26" s="14"/>
      <c r="X26" s="136"/>
      <c r="Y26" s="414"/>
    </row>
    <row r="27" spans="1:25" ht="15.75" customHeight="1">
      <c r="A27" s="6"/>
      <c r="B27" s="6"/>
      <c r="C27" s="1316"/>
      <c r="D27" s="1316"/>
      <c r="E27" s="1316"/>
      <c r="F27" s="1316"/>
      <c r="G27" s="1316"/>
      <c r="H27" s="1316"/>
      <c r="I27" s="1316"/>
      <c r="J27" s="1316"/>
      <c r="K27" s="1316"/>
      <c r="L27" s="1316"/>
      <c r="M27" s="1316"/>
      <c r="N27" s="1316"/>
      <c r="O27" s="915">
        <v>0</v>
      </c>
      <c r="P27" s="59"/>
      <c r="Q27" s="1187" t="s">
        <v>240</v>
      </c>
      <c r="R27" s="1187"/>
      <c r="S27" s="1187"/>
      <c r="T27" s="1187"/>
      <c r="U27" s="1187"/>
      <c r="V27" s="1187"/>
      <c r="W27" s="1188"/>
      <c r="X27" s="1224"/>
      <c r="Y27" s="1317"/>
    </row>
    <row r="28" spans="1:25" ht="15" customHeight="1">
      <c r="A28" s="6"/>
      <c r="B28" s="6"/>
      <c r="C28" s="415"/>
      <c r="D28" s="23"/>
      <c r="E28" s="416"/>
      <c r="F28" s="416"/>
      <c r="G28" s="416"/>
      <c r="H28" s="416"/>
      <c r="I28" s="416"/>
      <c r="J28" s="416"/>
      <c r="K28" s="417"/>
      <c r="L28" s="418"/>
      <c r="M28" s="416"/>
      <c r="N28" s="210"/>
      <c r="O28" s="916">
        <v>1</v>
      </c>
      <c r="P28" s="61"/>
      <c r="Q28" s="1153" t="s">
        <v>241</v>
      </c>
      <c r="R28" s="59"/>
      <c r="S28" s="59"/>
      <c r="T28" s="59"/>
      <c r="U28" s="59"/>
      <c r="V28" s="59"/>
      <c r="W28" s="1155"/>
      <c r="X28" s="1154"/>
      <c r="Y28" s="1152"/>
    </row>
    <row r="29" spans="1:25" ht="15" customHeight="1">
      <c r="A29" s="6"/>
      <c r="B29" s="6"/>
      <c r="C29" s="415"/>
      <c r="D29" s="23"/>
      <c r="E29" s="416"/>
      <c r="F29" s="416"/>
      <c r="G29" s="416"/>
      <c r="H29" s="416"/>
      <c r="I29" s="416"/>
      <c r="J29" s="416"/>
      <c r="K29" s="417"/>
      <c r="L29" s="418"/>
      <c r="M29" s="416"/>
      <c r="N29" s="210"/>
      <c r="O29" s="916">
        <v>9</v>
      </c>
      <c r="P29" s="61"/>
      <c r="Q29" s="1187" t="s">
        <v>242</v>
      </c>
      <c r="R29" s="1226"/>
      <c r="S29" s="1226"/>
      <c r="T29" s="1226"/>
      <c r="U29" s="1226"/>
      <c r="V29" s="1226"/>
      <c r="W29" s="1227"/>
      <c r="X29" s="1224"/>
      <c r="Y29" s="1317"/>
    </row>
    <row r="30" spans="1:25" ht="36.75" customHeight="1">
      <c r="A30" s="393"/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763"/>
      <c r="X30" s="1303" t="s">
        <v>131</v>
      </c>
      <c r="Y30" s="1304"/>
    </row>
    <row r="31" spans="1:25" ht="15">
      <c r="A31" s="393"/>
      <c r="B31" s="393"/>
      <c r="C31" s="393"/>
      <c r="D31" s="393"/>
      <c r="E31" s="210" t="s">
        <v>134</v>
      </c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87" t="s">
        <v>112</v>
      </c>
      <c r="X31" s="761" t="s">
        <v>243</v>
      </c>
      <c r="Y31" s="762" t="s">
        <v>243</v>
      </c>
    </row>
    <row r="32" spans="1:25" ht="11.25" customHeight="1">
      <c r="A32" s="922" t="s">
        <v>244</v>
      </c>
      <c r="B32" s="419"/>
      <c r="C32" s="922" t="s">
        <v>32</v>
      </c>
      <c r="D32" s="419"/>
      <c r="E32" s="922">
        <v>5</v>
      </c>
      <c r="F32" s="419"/>
      <c r="G32" s="923">
        <v>1</v>
      </c>
      <c r="H32" s="419"/>
      <c r="I32" s="922">
        <v>1</v>
      </c>
      <c r="J32" s="420" t="s">
        <v>36</v>
      </c>
      <c r="K32" s="922">
        <v>2</v>
      </c>
      <c r="L32" s="419"/>
      <c r="M32" s="922">
        <v>1</v>
      </c>
      <c r="N32" s="421"/>
      <c r="O32" s="922">
        <v>1</v>
      </c>
      <c r="P32" s="88"/>
      <c r="Q32" s="393"/>
      <c r="R32" s="393"/>
      <c r="S32" s="393"/>
      <c r="T32" s="393"/>
      <c r="U32" s="393"/>
      <c r="V32" s="422"/>
      <c r="W32" s="391"/>
      <c r="X32" s="423"/>
      <c r="Y32" s="423"/>
    </row>
    <row r="33" spans="1:25" ht="9" customHeight="1">
      <c r="A33" s="424"/>
      <c r="B33" s="89"/>
      <c r="C33" s="90"/>
      <c r="D33" s="89"/>
      <c r="E33" s="91"/>
      <c r="F33" s="89"/>
      <c r="G33" s="91"/>
      <c r="H33" s="89"/>
      <c r="I33" s="91"/>
      <c r="J33" s="393"/>
      <c r="K33" s="393"/>
      <c r="L33" s="393"/>
      <c r="M33" s="937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</row>
    <row r="34" spans="1:25" ht="13.5" customHeight="1">
      <c r="A34" s="15"/>
      <c r="B34" s="15"/>
      <c r="C34" s="1"/>
      <c r="D34" s="15"/>
      <c r="E34" s="15"/>
      <c r="F34" s="15"/>
      <c r="G34" s="15"/>
      <c r="H34" s="15"/>
      <c r="I34" s="15"/>
      <c r="J34" s="393"/>
      <c r="K34" s="393"/>
      <c r="L34" s="393"/>
      <c r="M34" s="393"/>
      <c r="N34" s="393"/>
      <c r="O34" s="393"/>
      <c r="P34" s="393"/>
      <c r="Q34" s="393" t="s">
        <v>234</v>
      </c>
      <c r="R34" s="393"/>
      <c r="S34" s="393"/>
      <c r="T34" s="393"/>
      <c r="U34" s="393"/>
      <c r="V34" s="393"/>
      <c r="W34" s="393"/>
      <c r="X34" s="393"/>
      <c r="Y34" s="393"/>
    </row>
    <row r="35" spans="1:25" ht="1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425"/>
      <c r="X35" s="426"/>
      <c r="Y35" s="426"/>
    </row>
    <row r="36" spans="1:25" ht="1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97"/>
      <c r="X36" s="150"/>
      <c r="Y36" s="150"/>
    </row>
    <row r="37" spans="1:22" ht="1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</row>
  </sheetData>
  <sheetProtection password="C651" sheet="1" objects="1" scenarios="1"/>
  <mergeCells count="34">
    <mergeCell ref="C27:N27"/>
    <mergeCell ref="Q27:W27"/>
    <mergeCell ref="X27:Y27"/>
    <mergeCell ref="O24:W24"/>
    <mergeCell ref="X24:Y24"/>
    <mergeCell ref="Q29:W29"/>
    <mergeCell ref="X29:Y29"/>
    <mergeCell ref="O25:W25"/>
    <mergeCell ref="K18:W18"/>
    <mergeCell ref="K19:W19"/>
    <mergeCell ref="X19:Y19"/>
    <mergeCell ref="M21:W21"/>
    <mergeCell ref="X21:Y21"/>
    <mergeCell ref="O23:W23"/>
    <mergeCell ref="X23:Y23"/>
    <mergeCell ref="G12:W12"/>
    <mergeCell ref="X12:Y12"/>
    <mergeCell ref="I14:W14"/>
    <mergeCell ref="K16:W16"/>
    <mergeCell ref="X16:Y16"/>
    <mergeCell ref="K17:W17"/>
    <mergeCell ref="X17:Y17"/>
    <mergeCell ref="X30:Y30"/>
    <mergeCell ref="X25:Y25"/>
    <mergeCell ref="X11:Y11"/>
    <mergeCell ref="M3:W3"/>
    <mergeCell ref="C5:R5"/>
    <mergeCell ref="C6:R6"/>
    <mergeCell ref="E8:W8"/>
    <mergeCell ref="E9:W9"/>
  </mergeCells>
  <hyperlinks>
    <hyperlink ref="X2" r:id="rId1" display="www.darkont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14"/>
  <sheetViews>
    <sheetView showGridLines="0" zoomScalePageLayoutView="0" workbookViewId="0" topLeftCell="M2">
      <selection activeCell="P56" sqref="P56:T56"/>
    </sheetView>
  </sheetViews>
  <sheetFormatPr defaultColWidth="9.140625" defaultRowHeight="15"/>
  <cols>
    <col min="1" max="1" width="7.421875" style="0" customWidth="1"/>
    <col min="2" max="2" width="7.7109375" style="0" customWidth="1"/>
    <col min="3" max="3" width="6.28125" style="474" customWidth="1"/>
    <col min="4" max="5" width="4.7109375" style="0" customWidth="1"/>
    <col min="6" max="6" width="3.28125" style="0" customWidth="1"/>
    <col min="7" max="7" width="6.8515625" style="0" customWidth="1"/>
    <col min="8" max="8" width="5.8515625" style="0" customWidth="1"/>
    <col min="9" max="9" width="6.7109375" style="0" customWidth="1"/>
    <col min="10" max="10" width="5.421875" style="0" customWidth="1"/>
    <col min="14" max="14" width="38.7109375" style="0" customWidth="1"/>
    <col min="15" max="15" width="6.8515625" style="474" customWidth="1"/>
    <col min="16" max="17" width="6.7109375" style="474" customWidth="1"/>
    <col min="18" max="18" width="6.421875" style="474" customWidth="1"/>
    <col min="19" max="19" width="6.140625" style="474" customWidth="1"/>
    <col min="20" max="20" width="6.8515625" style="474" customWidth="1"/>
  </cols>
  <sheetData>
    <row r="1" spans="1:20" ht="18.75">
      <c r="A1" s="883"/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817" t="s">
        <v>152</v>
      </c>
      <c r="R1" s="816"/>
      <c r="S1" s="816"/>
      <c r="T1" s="816"/>
    </row>
    <row r="2" spans="1:21" ht="15.75" customHeight="1">
      <c r="A2" s="886"/>
      <c r="B2" s="887"/>
      <c r="C2" s="887"/>
      <c r="D2" s="887"/>
      <c r="E2" s="887"/>
      <c r="F2" s="887"/>
      <c r="G2" s="887"/>
      <c r="H2" s="938" t="s">
        <v>245</v>
      </c>
      <c r="I2" s="887"/>
      <c r="J2" s="887"/>
      <c r="K2" s="887"/>
      <c r="L2" s="887"/>
      <c r="M2" s="887"/>
      <c r="N2" s="887"/>
      <c r="O2" s="887"/>
      <c r="P2" s="887"/>
      <c r="Q2" s="818" t="s">
        <v>165</v>
      </c>
      <c r="R2" s="887"/>
      <c r="S2" s="887"/>
      <c r="T2" s="887"/>
      <c r="U2" s="427"/>
    </row>
    <row r="3" spans="1:21" ht="15.75" customHeight="1">
      <c r="A3" s="886"/>
      <c r="B3" s="887"/>
      <c r="C3" s="887"/>
      <c r="D3" s="887"/>
      <c r="E3" s="887"/>
      <c r="F3" s="887"/>
      <c r="G3" s="887"/>
      <c r="H3" s="887"/>
      <c r="I3" s="1421" t="s">
        <v>164</v>
      </c>
      <c r="J3" s="1421"/>
      <c r="K3" s="1421"/>
      <c r="L3" s="1421"/>
      <c r="M3" s="1421"/>
      <c r="N3" s="1421"/>
      <c r="O3" s="1421"/>
      <c r="P3" s="1421"/>
      <c r="Q3" s="963" t="s">
        <v>624</v>
      </c>
      <c r="R3" s="887"/>
      <c r="S3" s="887"/>
      <c r="T3" s="887"/>
      <c r="U3" s="427"/>
    </row>
    <row r="4" spans="1:21" ht="8.25" customHeight="1" thickBot="1">
      <c r="A4" s="939"/>
      <c r="B4" s="940"/>
      <c r="C4" s="940"/>
      <c r="D4" s="940"/>
      <c r="E4" s="940"/>
      <c r="F4" s="940"/>
      <c r="G4" s="940"/>
      <c r="H4" s="940"/>
      <c r="I4" s="940"/>
      <c r="J4" s="940"/>
      <c r="K4" s="940"/>
      <c r="L4" s="940"/>
      <c r="M4" s="940"/>
      <c r="N4" s="940"/>
      <c r="O4" s="940"/>
      <c r="P4" s="940"/>
      <c r="Q4" s="940"/>
      <c r="R4" s="940"/>
      <c r="S4" s="940"/>
      <c r="T4" s="940"/>
      <c r="U4" s="427"/>
    </row>
    <row r="5" spans="1:21" ht="24" customHeight="1" thickBot="1">
      <c r="A5" s="428"/>
      <c r="B5" s="429" t="s">
        <v>153</v>
      </c>
      <c r="C5" s="430" t="s">
        <v>246</v>
      </c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27"/>
    </row>
    <row r="6" spans="1:20" ht="15.75" thickBot="1">
      <c r="A6" s="941" t="s">
        <v>247</v>
      </c>
      <c r="B6" s="432" t="s">
        <v>248</v>
      </c>
      <c r="C6" s="433" t="s">
        <v>249</v>
      </c>
      <c r="D6" s="1422" t="s">
        <v>250</v>
      </c>
      <c r="E6" s="1422"/>
      <c r="F6" s="1422"/>
      <c r="G6" s="1422"/>
      <c r="H6" s="1422"/>
      <c r="I6" s="1422"/>
      <c r="J6" s="1422"/>
      <c r="K6" s="1422"/>
      <c r="L6" s="1422"/>
      <c r="M6" s="1422"/>
      <c r="N6" s="1423"/>
      <c r="O6" s="945" t="s">
        <v>247</v>
      </c>
      <c r="P6" s="434"/>
      <c r="Q6" s="434"/>
      <c r="R6" s="434"/>
      <c r="S6" s="434"/>
      <c r="T6" s="434"/>
    </row>
    <row r="7" spans="1:20" ht="15.75" thickBot="1">
      <c r="A7" s="941" t="s">
        <v>251</v>
      </c>
      <c r="B7" s="432" t="s">
        <v>252</v>
      </c>
      <c r="C7" s="433" t="s">
        <v>249</v>
      </c>
      <c r="D7" s="1422" t="s">
        <v>253</v>
      </c>
      <c r="E7" s="1422"/>
      <c r="F7" s="1422"/>
      <c r="G7" s="1422"/>
      <c r="H7" s="1422"/>
      <c r="I7" s="1422"/>
      <c r="J7" s="1422"/>
      <c r="K7" s="1422"/>
      <c r="L7" s="1422"/>
      <c r="M7" s="1422"/>
      <c r="N7" s="1423"/>
      <c r="O7" s="956"/>
      <c r="P7" s="946" t="s">
        <v>251</v>
      </c>
      <c r="Q7" s="434"/>
      <c r="R7" s="434"/>
      <c r="S7" s="434"/>
      <c r="T7" s="434"/>
    </row>
    <row r="8" spans="1:22" ht="15.75" thickBot="1">
      <c r="A8" s="941" t="s">
        <v>254</v>
      </c>
      <c r="B8" s="432" t="s">
        <v>255</v>
      </c>
      <c r="C8" s="433" t="s">
        <v>256</v>
      </c>
      <c r="D8" s="1422" t="s">
        <v>257</v>
      </c>
      <c r="E8" s="1422"/>
      <c r="F8" s="1422"/>
      <c r="G8" s="1422"/>
      <c r="H8" s="1422"/>
      <c r="I8" s="1422"/>
      <c r="J8" s="1422"/>
      <c r="K8" s="1422"/>
      <c r="L8" s="1422"/>
      <c r="M8" s="1422"/>
      <c r="N8" s="1423"/>
      <c r="O8" s="954"/>
      <c r="P8" s="952"/>
      <c r="Q8" s="946" t="s">
        <v>254</v>
      </c>
      <c r="R8" s="434"/>
      <c r="S8" s="434"/>
      <c r="T8" s="434"/>
      <c r="V8" s="427"/>
    </row>
    <row r="9" spans="1:20" ht="15.75" thickBot="1">
      <c r="A9" s="941" t="s">
        <v>258</v>
      </c>
      <c r="B9" s="432" t="s">
        <v>259</v>
      </c>
      <c r="C9" s="433" t="s">
        <v>256</v>
      </c>
      <c r="D9" s="1422" t="s">
        <v>253</v>
      </c>
      <c r="E9" s="1422"/>
      <c r="F9" s="1422"/>
      <c r="G9" s="1422"/>
      <c r="H9" s="1422"/>
      <c r="I9" s="1422"/>
      <c r="J9" s="1422"/>
      <c r="K9" s="1422"/>
      <c r="L9" s="1422"/>
      <c r="M9" s="1422"/>
      <c r="N9" s="1423"/>
      <c r="O9" s="955"/>
      <c r="P9" s="770"/>
      <c r="Q9" s="952"/>
      <c r="R9" s="946" t="s">
        <v>258</v>
      </c>
      <c r="S9" s="434"/>
      <c r="T9" s="434"/>
    </row>
    <row r="10" spans="1:20" ht="15.75" thickBot="1">
      <c r="A10" s="941" t="s">
        <v>260</v>
      </c>
      <c r="B10" s="432" t="s">
        <v>261</v>
      </c>
      <c r="C10" s="433" t="s">
        <v>262</v>
      </c>
      <c r="D10" s="1422" t="s">
        <v>253</v>
      </c>
      <c r="E10" s="1422"/>
      <c r="F10" s="1422"/>
      <c r="G10" s="1422"/>
      <c r="H10" s="1422"/>
      <c r="I10" s="1422"/>
      <c r="J10" s="1422"/>
      <c r="K10" s="1422"/>
      <c r="L10" s="1422"/>
      <c r="M10" s="1422"/>
      <c r="N10" s="1423"/>
      <c r="O10" s="954"/>
      <c r="P10" s="770"/>
      <c r="Q10" s="770"/>
      <c r="R10" s="952"/>
      <c r="S10" s="946" t="s">
        <v>260</v>
      </c>
      <c r="T10" s="435"/>
    </row>
    <row r="11" spans="1:20" ht="15.75" thickBot="1">
      <c r="A11" s="941" t="s">
        <v>263</v>
      </c>
      <c r="B11" s="432" t="s">
        <v>264</v>
      </c>
      <c r="C11" s="433" t="s">
        <v>265</v>
      </c>
      <c r="D11" s="1422" t="s">
        <v>253</v>
      </c>
      <c r="E11" s="1422"/>
      <c r="F11" s="1422"/>
      <c r="G11" s="1422"/>
      <c r="H11" s="1422"/>
      <c r="I11" s="1422"/>
      <c r="J11" s="1422"/>
      <c r="K11" s="1422"/>
      <c r="L11" s="1422"/>
      <c r="M11" s="1422"/>
      <c r="N11" s="1423"/>
      <c r="O11" s="953"/>
      <c r="P11" s="767"/>
      <c r="Q11" s="767"/>
      <c r="R11" s="767"/>
      <c r="S11" s="951"/>
      <c r="T11" s="947" t="s">
        <v>263</v>
      </c>
    </row>
    <row r="12" spans="1:20" ht="15.75" thickBot="1">
      <c r="A12" s="436"/>
      <c r="B12" s="434"/>
      <c r="C12" s="437" t="s">
        <v>69</v>
      </c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8"/>
      <c r="O12" s="1424" t="s">
        <v>174</v>
      </c>
      <c r="P12" s="1424"/>
      <c r="Q12" s="1424"/>
      <c r="R12" s="1424"/>
      <c r="S12" s="1424"/>
      <c r="T12" s="1425"/>
    </row>
    <row r="13" spans="1:20" ht="15.75" thickBot="1">
      <c r="A13" s="439"/>
      <c r="B13" s="510" t="s">
        <v>30</v>
      </c>
      <c r="C13" s="1318" t="s">
        <v>81</v>
      </c>
      <c r="D13" s="1319"/>
      <c r="E13" s="1319"/>
      <c r="F13" s="1319"/>
      <c r="G13" s="1319"/>
      <c r="H13" s="1319"/>
      <c r="I13" s="1319"/>
      <c r="J13" s="1319"/>
      <c r="K13" s="1319"/>
      <c r="L13" s="1319"/>
      <c r="M13" s="1319"/>
      <c r="N13" s="1320"/>
      <c r="O13" s="1373"/>
      <c r="P13" s="777">
        <f>Лист1!A1*20500</f>
        <v>22550.000000000004</v>
      </c>
      <c r="Q13" s="1406"/>
      <c r="R13" s="776">
        <f>Лист1!A1*27300</f>
        <v>30030.000000000004</v>
      </c>
      <c r="S13" s="768">
        <f>Лист1!A1*54000</f>
        <v>59400.00000000001</v>
      </c>
      <c r="T13" s="800">
        <f>Лист1!A1*66600</f>
        <v>73260</v>
      </c>
    </row>
    <row r="14" spans="1:20" ht="15.75" thickBot="1">
      <c r="A14" s="439"/>
      <c r="B14" s="510" t="s">
        <v>32</v>
      </c>
      <c r="C14" s="1318" t="s">
        <v>266</v>
      </c>
      <c r="D14" s="1319"/>
      <c r="E14" s="1319"/>
      <c r="F14" s="1319"/>
      <c r="G14" s="1319"/>
      <c r="H14" s="1319"/>
      <c r="I14" s="1319"/>
      <c r="J14" s="1319"/>
      <c r="K14" s="1319"/>
      <c r="L14" s="1319"/>
      <c r="M14" s="1319"/>
      <c r="N14" s="1320"/>
      <c r="O14" s="1373"/>
      <c r="P14" s="777">
        <f>Лист1!A1*39400</f>
        <v>43340</v>
      </c>
      <c r="Q14" s="1406"/>
      <c r="R14" s="770">
        <f>Лист1!A1*48900</f>
        <v>53790.00000000001</v>
      </c>
      <c r="S14" s="768">
        <f>Лист1!A1*79800</f>
        <v>87780</v>
      </c>
      <c r="T14" s="779">
        <f>Лист1!A1*109000</f>
        <v>119900.00000000001</v>
      </c>
    </row>
    <row r="15" spans="1:20" ht="15.75" thickBot="1">
      <c r="A15" s="439"/>
      <c r="B15" s="510" t="s">
        <v>33</v>
      </c>
      <c r="C15" s="1318" t="s">
        <v>267</v>
      </c>
      <c r="D15" s="1319"/>
      <c r="E15" s="1319"/>
      <c r="F15" s="1319"/>
      <c r="G15" s="1319"/>
      <c r="H15" s="1319"/>
      <c r="I15" s="1319"/>
      <c r="J15" s="1319"/>
      <c r="K15" s="1319"/>
      <c r="L15" s="1319"/>
      <c r="M15" s="1319"/>
      <c r="N15" s="1320"/>
      <c r="O15" s="1373"/>
      <c r="P15" s="777">
        <f>Лист1!A1*54700</f>
        <v>60170.00000000001</v>
      </c>
      <c r="Q15" s="1406"/>
      <c r="R15" s="776">
        <f>Лист1!A1*61900</f>
        <v>68090</v>
      </c>
      <c r="S15" s="777">
        <f>Лист1!A1*90800</f>
        <v>99880.00000000001</v>
      </c>
      <c r="T15" s="1426"/>
    </row>
    <row r="16" spans="1:20" ht="15.75" thickBot="1">
      <c r="A16" s="439"/>
      <c r="B16" s="510" t="s">
        <v>268</v>
      </c>
      <c r="C16" s="1318" t="s">
        <v>269</v>
      </c>
      <c r="D16" s="1319"/>
      <c r="E16" s="1319"/>
      <c r="F16" s="1319"/>
      <c r="G16" s="1319"/>
      <c r="H16" s="1319"/>
      <c r="I16" s="1319"/>
      <c r="J16" s="1319"/>
      <c r="K16" s="1319"/>
      <c r="L16" s="1319"/>
      <c r="M16" s="1319"/>
      <c r="N16" s="1320"/>
      <c r="O16" s="797">
        <f>Лист1!A1*37400</f>
        <v>41140</v>
      </c>
      <c r="P16" s="798"/>
      <c r="Q16" s="799">
        <f>Лист1!A1*43200</f>
        <v>47520.00000000001</v>
      </c>
      <c r="R16" s="1428"/>
      <c r="S16" s="1429"/>
      <c r="T16" s="1427"/>
    </row>
    <row r="17" spans="1:20" ht="15.75" thickBot="1">
      <c r="A17" s="1324" t="s">
        <v>270</v>
      </c>
      <c r="B17" s="1379"/>
      <c r="C17" s="1379"/>
      <c r="D17" s="1379"/>
      <c r="E17" s="1379"/>
      <c r="F17" s="1379"/>
      <c r="G17" s="1379"/>
      <c r="H17" s="1379"/>
      <c r="I17" s="1379"/>
      <c r="J17" s="1379"/>
      <c r="K17" s="1379"/>
      <c r="L17" s="1379"/>
      <c r="M17" s="1379"/>
      <c r="N17" s="1379"/>
      <c r="O17" s="1416" t="s">
        <v>271</v>
      </c>
      <c r="P17" s="1416"/>
      <c r="Q17" s="1416"/>
      <c r="R17" s="1416"/>
      <c r="S17" s="1416"/>
      <c r="T17" s="1417"/>
    </row>
    <row r="18" spans="1:20" ht="15.75" thickBot="1">
      <c r="A18" s="439"/>
      <c r="B18" s="442"/>
      <c r="C18" s="942">
        <v>2</v>
      </c>
      <c r="D18" s="1386" t="s">
        <v>272</v>
      </c>
      <c r="E18" s="1387"/>
      <c r="F18" s="1387"/>
      <c r="G18" s="1387"/>
      <c r="H18" s="1387"/>
      <c r="I18" s="1387"/>
      <c r="J18" s="1387"/>
      <c r="K18" s="1387"/>
      <c r="L18" s="1387"/>
      <c r="M18" s="1387"/>
      <c r="N18" s="1388"/>
      <c r="O18" s="787">
        <f>Лист1!A1*650</f>
        <v>715.0000000000001</v>
      </c>
      <c r="P18" s="790">
        <f>Лист1!A1*650</f>
        <v>715.0000000000001</v>
      </c>
      <c r="Q18" s="791">
        <f>Лист1!A1*1500</f>
        <v>1650.0000000000002</v>
      </c>
      <c r="R18" s="790">
        <f>Лист1!A1*1550</f>
        <v>1705.0000000000002</v>
      </c>
      <c r="S18" s="794">
        <f>Лист1!A1*2350</f>
        <v>2585</v>
      </c>
      <c r="T18" s="795">
        <f>Лист1!A1*3250</f>
        <v>3575.0000000000005</v>
      </c>
    </row>
    <row r="19" spans="1:20" ht="15.75" thickBot="1">
      <c r="A19" s="439"/>
      <c r="B19" s="442"/>
      <c r="C19" s="942">
        <v>3</v>
      </c>
      <c r="D19" s="1386" t="s">
        <v>273</v>
      </c>
      <c r="E19" s="1387"/>
      <c r="F19" s="1387"/>
      <c r="G19" s="1387"/>
      <c r="H19" s="1387"/>
      <c r="I19" s="1387"/>
      <c r="J19" s="1387"/>
      <c r="K19" s="1387"/>
      <c r="L19" s="1387"/>
      <c r="M19" s="1387"/>
      <c r="N19" s="1388"/>
      <c r="O19" s="788" t="s">
        <v>274</v>
      </c>
      <c r="P19" s="789" t="s">
        <v>274</v>
      </c>
      <c r="Q19" s="792" t="s">
        <v>274</v>
      </c>
      <c r="R19" s="793" t="s">
        <v>274</v>
      </c>
      <c r="S19" s="792" t="s">
        <v>274</v>
      </c>
      <c r="T19" s="796" t="s">
        <v>274</v>
      </c>
    </row>
    <row r="20" spans="1:20" ht="15.75" thickBot="1">
      <c r="A20" s="1324" t="s">
        <v>275</v>
      </c>
      <c r="B20" s="1379"/>
      <c r="C20" s="1379"/>
      <c r="D20" s="1379"/>
      <c r="E20" s="1379"/>
      <c r="F20" s="1379"/>
      <c r="G20" s="1379"/>
      <c r="H20" s="1379"/>
      <c r="I20" s="1379"/>
      <c r="J20" s="1379"/>
      <c r="K20" s="1379"/>
      <c r="L20" s="1379"/>
      <c r="M20" s="1379"/>
      <c r="N20" s="1379"/>
      <c r="O20" s="1418"/>
      <c r="P20" s="1419"/>
      <c r="Q20" s="1419"/>
      <c r="R20" s="1419"/>
      <c r="S20" s="1419"/>
      <c r="T20" s="1420"/>
    </row>
    <row r="21" spans="1:20" ht="15.75" thickBot="1">
      <c r="A21" s="439"/>
      <c r="B21" s="442"/>
      <c r="C21" s="443"/>
      <c r="D21" s="942">
        <v>1</v>
      </c>
      <c r="E21" s="1318" t="s">
        <v>276</v>
      </c>
      <c r="F21" s="1319"/>
      <c r="G21" s="1319"/>
      <c r="H21" s="1319"/>
      <c r="I21" s="1319"/>
      <c r="J21" s="1319"/>
      <c r="K21" s="1319"/>
      <c r="L21" s="1319"/>
      <c r="M21" s="1319"/>
      <c r="N21" s="1320"/>
      <c r="O21" s="804">
        <f>Лист1!A1*2450</f>
        <v>2695</v>
      </c>
      <c r="P21" s="777">
        <f>Лист1!A1*2450</f>
        <v>2695</v>
      </c>
      <c r="Q21" s="770">
        <f>Лист1!A1*3200</f>
        <v>3520.0000000000005</v>
      </c>
      <c r="R21" s="777">
        <f>Лист1!A1*3200</f>
        <v>3520.0000000000005</v>
      </c>
      <c r="S21" s="770">
        <f>Лист1!A1*5400</f>
        <v>5940.000000000001</v>
      </c>
      <c r="T21" s="779">
        <f>Лист1!A1*7100</f>
        <v>7810.000000000001</v>
      </c>
    </row>
    <row r="22" spans="1:20" ht="15.75" thickBot="1">
      <c r="A22" s="439"/>
      <c r="B22" s="442"/>
      <c r="C22" s="443"/>
      <c r="D22" s="942">
        <v>2</v>
      </c>
      <c r="E22" s="1318" t="s">
        <v>277</v>
      </c>
      <c r="F22" s="1319"/>
      <c r="G22" s="1319"/>
      <c r="H22" s="1319"/>
      <c r="I22" s="1319"/>
      <c r="J22" s="1319"/>
      <c r="K22" s="1319"/>
      <c r="L22" s="1319"/>
      <c r="M22" s="1319"/>
      <c r="N22" s="1320"/>
      <c r="O22" s="788" t="s">
        <v>274</v>
      </c>
      <c r="P22" s="789" t="s">
        <v>274</v>
      </c>
      <c r="Q22" s="793" t="s">
        <v>274</v>
      </c>
      <c r="R22" s="805" t="s">
        <v>274</v>
      </c>
      <c r="S22" s="806" t="s">
        <v>274</v>
      </c>
      <c r="T22" s="796" t="s">
        <v>274</v>
      </c>
    </row>
    <row r="23" spans="1:20" ht="15.75" thickBot="1">
      <c r="A23" s="439"/>
      <c r="B23" s="442"/>
      <c r="C23" s="443"/>
      <c r="D23" s="942">
        <v>3</v>
      </c>
      <c r="E23" s="1318" t="s">
        <v>278</v>
      </c>
      <c r="F23" s="1319"/>
      <c r="G23" s="1319"/>
      <c r="H23" s="1319"/>
      <c r="I23" s="1319"/>
      <c r="J23" s="1319"/>
      <c r="K23" s="1319"/>
      <c r="L23" s="1319"/>
      <c r="M23" s="1319"/>
      <c r="N23" s="1320"/>
      <c r="O23" s="803" t="s">
        <v>274</v>
      </c>
      <c r="P23" s="802"/>
      <c r="Q23" s="801" t="s">
        <v>274</v>
      </c>
      <c r="R23" s="802"/>
      <c r="S23" s="807"/>
      <c r="T23" s="808"/>
    </row>
    <row r="24" spans="1:20" ht="15.75" thickBot="1">
      <c r="A24" s="439"/>
      <c r="B24" s="442"/>
      <c r="C24" s="442"/>
      <c r="D24" s="444"/>
      <c r="E24" s="444"/>
      <c r="F24" s="444"/>
      <c r="G24" s="444"/>
      <c r="H24" s="444" t="s">
        <v>279</v>
      </c>
      <c r="I24" s="444"/>
      <c r="J24" s="444"/>
      <c r="K24" s="444"/>
      <c r="L24" s="444"/>
      <c r="M24" s="444"/>
      <c r="N24" s="444"/>
      <c r="O24" s="1413"/>
      <c r="P24" s="1413"/>
      <c r="Q24" s="1413"/>
      <c r="R24" s="1413"/>
      <c r="S24" s="1413"/>
      <c r="T24" s="1414"/>
    </row>
    <row r="25" spans="1:20" ht="15.75" thickBot="1">
      <c r="A25" s="439"/>
      <c r="B25" s="442"/>
      <c r="C25" s="443"/>
      <c r="D25" s="445"/>
      <c r="E25" s="510">
        <v>1</v>
      </c>
      <c r="F25" s="1318" t="s">
        <v>280</v>
      </c>
      <c r="G25" s="1319"/>
      <c r="H25" s="1319"/>
      <c r="I25" s="1319"/>
      <c r="J25" s="1319"/>
      <c r="K25" s="1319"/>
      <c r="L25" s="1319"/>
      <c r="M25" s="1319"/>
      <c r="N25" s="1320"/>
      <c r="O25" s="1415" t="s">
        <v>274</v>
      </c>
      <c r="P25" s="1368"/>
      <c r="Q25" s="1368"/>
      <c r="R25" s="1368"/>
      <c r="S25" s="1368"/>
      <c r="T25" s="1369"/>
    </row>
    <row r="26" spans="1:20" ht="15.75" thickBot="1">
      <c r="A26" s="439"/>
      <c r="B26" s="442"/>
      <c r="C26" s="443"/>
      <c r="D26" s="442"/>
      <c r="E26" s="510">
        <v>2</v>
      </c>
      <c r="F26" s="1318" t="s">
        <v>281</v>
      </c>
      <c r="G26" s="1319"/>
      <c r="H26" s="1319"/>
      <c r="I26" s="1319"/>
      <c r="J26" s="1319"/>
      <c r="K26" s="1319"/>
      <c r="L26" s="1319"/>
      <c r="M26" s="1319"/>
      <c r="N26" s="1320"/>
      <c r="O26" s="1407" t="s">
        <v>274</v>
      </c>
      <c r="P26" s="1408"/>
      <c r="Q26" s="1408"/>
      <c r="R26" s="1408"/>
      <c r="S26" s="1408"/>
      <c r="T26" s="1409"/>
    </row>
    <row r="27" spans="1:20" ht="15.75" thickBot="1">
      <c r="A27" s="439"/>
      <c r="B27" s="442"/>
      <c r="C27" s="443"/>
      <c r="D27" s="442"/>
      <c r="E27" s="510">
        <v>3</v>
      </c>
      <c r="F27" s="1318" t="s">
        <v>282</v>
      </c>
      <c r="G27" s="1319"/>
      <c r="H27" s="1319"/>
      <c r="I27" s="1319"/>
      <c r="J27" s="1319"/>
      <c r="K27" s="1319"/>
      <c r="L27" s="1319"/>
      <c r="M27" s="1319"/>
      <c r="N27" s="1320"/>
      <c r="O27" s="780">
        <f>Лист1!A1*1300</f>
        <v>1430.0000000000002</v>
      </c>
      <c r="P27" s="770">
        <f>Лист1!A1*1300</f>
        <v>1430.0000000000002</v>
      </c>
      <c r="Q27" s="777">
        <f>Лист1!A1*1300</f>
        <v>1430.0000000000002</v>
      </c>
      <c r="R27" s="770">
        <f>Лист1!A1*1300</f>
        <v>1430.0000000000002</v>
      </c>
      <c r="S27" s="770">
        <f>Лист1!A1*1550</f>
        <v>1705.0000000000002</v>
      </c>
      <c r="T27" s="779">
        <f>Лист1!A1*2200</f>
        <v>2420</v>
      </c>
    </row>
    <row r="28" spans="1:20" ht="15.75" thickBot="1">
      <c r="A28" s="439"/>
      <c r="B28" s="442"/>
      <c r="C28" s="443"/>
      <c r="D28" s="442"/>
      <c r="E28" s="510">
        <v>4</v>
      </c>
      <c r="F28" s="1318" t="s">
        <v>283</v>
      </c>
      <c r="G28" s="1319"/>
      <c r="H28" s="1319"/>
      <c r="I28" s="1319"/>
      <c r="J28" s="1319"/>
      <c r="K28" s="1319"/>
      <c r="L28" s="1319"/>
      <c r="M28" s="1319"/>
      <c r="N28" s="1320"/>
      <c r="O28" s="1410" t="s">
        <v>274</v>
      </c>
      <c r="P28" s="1411"/>
      <c r="Q28" s="1411"/>
      <c r="R28" s="1411"/>
      <c r="S28" s="1411"/>
      <c r="T28" s="1412"/>
    </row>
    <row r="29" spans="1:20" ht="15.75" thickBot="1">
      <c r="A29" s="1324" t="s">
        <v>91</v>
      </c>
      <c r="B29" s="1379"/>
      <c r="C29" s="1379"/>
      <c r="D29" s="1379"/>
      <c r="E29" s="1379"/>
      <c r="F29" s="1379"/>
      <c r="G29" s="1379"/>
      <c r="H29" s="1379"/>
      <c r="I29" s="1379"/>
      <c r="J29" s="1379"/>
      <c r="K29" s="1379"/>
      <c r="L29" s="1379"/>
      <c r="M29" s="1379"/>
      <c r="N29" s="1379"/>
      <c r="O29" s="1373"/>
      <c r="P29" s="1413"/>
      <c r="Q29" s="1413"/>
      <c r="R29" s="1413"/>
      <c r="S29" s="1413"/>
      <c r="T29" s="1414"/>
    </row>
    <row r="30" spans="1:20" ht="15.75" thickBot="1">
      <c r="A30" s="439"/>
      <c r="B30" s="442"/>
      <c r="C30" s="443"/>
      <c r="D30" s="442"/>
      <c r="E30" s="443"/>
      <c r="F30" s="443" t="s">
        <v>274</v>
      </c>
      <c r="G30" s="510">
        <v>1</v>
      </c>
      <c r="H30" s="1399" t="s">
        <v>284</v>
      </c>
      <c r="I30" s="1400"/>
      <c r="J30" s="1400"/>
      <c r="K30" s="1400"/>
      <c r="L30" s="1400"/>
      <c r="M30" s="1400"/>
      <c r="N30" s="1401"/>
      <c r="O30" s="1402" t="s">
        <v>274</v>
      </c>
      <c r="P30" s="1353"/>
      <c r="Q30" s="1353"/>
      <c r="R30" s="1353"/>
      <c r="S30" s="1353"/>
      <c r="T30" s="1354"/>
    </row>
    <row r="31" spans="1:20" ht="15.75" thickBot="1">
      <c r="A31" s="439"/>
      <c r="B31" s="442"/>
      <c r="C31" s="443"/>
      <c r="D31" s="442"/>
      <c r="E31" s="443"/>
      <c r="F31" s="443" t="s">
        <v>274</v>
      </c>
      <c r="G31" s="510">
        <v>2</v>
      </c>
      <c r="H31" s="1399" t="s">
        <v>285</v>
      </c>
      <c r="I31" s="1400"/>
      <c r="J31" s="1400"/>
      <c r="K31" s="1400"/>
      <c r="L31" s="1400"/>
      <c r="M31" s="1400"/>
      <c r="N31" s="1401"/>
      <c r="O31" s="1403"/>
      <c r="P31" s="766" t="s">
        <v>274</v>
      </c>
      <c r="Q31" s="1405"/>
      <c r="R31" s="771" t="s">
        <v>274</v>
      </c>
      <c r="S31" s="772" t="s">
        <v>274</v>
      </c>
      <c r="T31" s="773" t="s">
        <v>274</v>
      </c>
    </row>
    <row r="32" spans="1:20" ht="15.75" thickBot="1">
      <c r="A32" s="439"/>
      <c r="B32" s="442"/>
      <c r="C32" s="443"/>
      <c r="D32" s="442"/>
      <c r="E32" s="443"/>
      <c r="F32" s="443" t="s">
        <v>274</v>
      </c>
      <c r="G32" s="510">
        <v>3</v>
      </c>
      <c r="H32" s="1399" t="s">
        <v>286</v>
      </c>
      <c r="I32" s="1400"/>
      <c r="J32" s="1400"/>
      <c r="K32" s="1400"/>
      <c r="L32" s="1400"/>
      <c r="M32" s="1400"/>
      <c r="N32" s="1401"/>
      <c r="O32" s="1373"/>
      <c r="P32" s="768">
        <v>1800</v>
      </c>
      <c r="Q32" s="1406"/>
      <c r="R32" s="777">
        <v>2700</v>
      </c>
      <c r="S32" s="770">
        <v>4030</v>
      </c>
      <c r="T32" s="775">
        <v>4950</v>
      </c>
    </row>
    <row r="33" spans="1:21" ht="15.75" thickBot="1">
      <c r="A33" s="439"/>
      <c r="B33" s="442"/>
      <c r="C33" s="443"/>
      <c r="D33" s="442"/>
      <c r="E33" s="443"/>
      <c r="F33" s="443" t="s">
        <v>274</v>
      </c>
      <c r="G33" s="510">
        <v>5</v>
      </c>
      <c r="H33" s="1399" t="s">
        <v>287</v>
      </c>
      <c r="I33" s="1400"/>
      <c r="J33" s="1400"/>
      <c r="K33" s="1400"/>
      <c r="L33" s="1400"/>
      <c r="M33" s="1400"/>
      <c r="N33" s="1401"/>
      <c r="O33" s="1373"/>
      <c r="P33" s="770">
        <v>2500</v>
      </c>
      <c r="Q33" s="1406"/>
      <c r="R33" s="776">
        <v>2500</v>
      </c>
      <c r="S33" s="776">
        <v>2500</v>
      </c>
      <c r="T33" s="779">
        <v>2500</v>
      </c>
      <c r="U33" s="764"/>
    </row>
    <row r="34" spans="1:20" ht="15.75" thickBot="1">
      <c r="A34" s="439"/>
      <c r="B34" s="442"/>
      <c r="C34" s="443"/>
      <c r="D34" s="442"/>
      <c r="E34" s="443"/>
      <c r="F34" s="443" t="s">
        <v>274</v>
      </c>
      <c r="G34" s="510">
        <v>6</v>
      </c>
      <c r="H34" s="1399" t="s">
        <v>288</v>
      </c>
      <c r="I34" s="1400"/>
      <c r="J34" s="1400"/>
      <c r="K34" s="1400"/>
      <c r="L34" s="1400"/>
      <c r="M34" s="1400"/>
      <c r="N34" s="1401"/>
      <c r="O34" s="1404"/>
      <c r="P34" s="769">
        <v>20540</v>
      </c>
      <c r="Q34" s="1383"/>
      <c r="R34" s="778">
        <v>21900</v>
      </c>
      <c r="S34" s="778">
        <v>28000</v>
      </c>
      <c r="T34" s="774">
        <v>36900</v>
      </c>
    </row>
    <row r="35" spans="1:20" ht="15">
      <c r="A35" s="1333" t="s">
        <v>289</v>
      </c>
      <c r="B35" s="1326"/>
      <c r="C35" s="1326"/>
      <c r="D35" s="1326"/>
      <c r="E35" s="1326"/>
      <c r="F35" s="1326"/>
      <c r="G35" s="1326"/>
      <c r="H35" s="1326"/>
      <c r="I35" s="1326"/>
      <c r="J35" s="1326"/>
      <c r="K35" s="1326"/>
      <c r="L35" s="1326"/>
      <c r="M35" s="1326"/>
      <c r="N35" s="1326"/>
      <c r="O35" s="1373"/>
      <c r="P35" s="1374"/>
      <c r="Q35" s="1374"/>
      <c r="R35" s="1374"/>
      <c r="S35" s="1374"/>
      <c r="T35" s="1375"/>
    </row>
    <row r="36" spans="1:20" ht="15.75" thickBot="1">
      <c r="A36" s="1324" t="s">
        <v>290</v>
      </c>
      <c r="B36" s="1379"/>
      <c r="C36" s="1379"/>
      <c r="D36" s="1379"/>
      <c r="E36" s="1379"/>
      <c r="F36" s="1379"/>
      <c r="G36" s="1379"/>
      <c r="H36" s="1379"/>
      <c r="I36" s="1379"/>
      <c r="J36" s="1379"/>
      <c r="K36" s="1379"/>
      <c r="L36" s="1379"/>
      <c r="M36" s="1379"/>
      <c r="N36" s="1379"/>
      <c r="O36" s="1373"/>
      <c r="P36" s="1374"/>
      <c r="Q36" s="1374"/>
      <c r="R36" s="1374"/>
      <c r="S36" s="1374"/>
      <c r="T36" s="1375"/>
    </row>
    <row r="37" spans="1:20" ht="15.75" thickBot="1">
      <c r="A37" s="439"/>
      <c r="B37" s="442"/>
      <c r="C37" s="443"/>
      <c r="D37" s="442"/>
      <c r="E37" s="442"/>
      <c r="F37" s="442"/>
      <c r="G37" s="442"/>
      <c r="H37" s="510">
        <v>1</v>
      </c>
      <c r="I37" s="1386" t="s">
        <v>239</v>
      </c>
      <c r="J37" s="1387"/>
      <c r="K37" s="1387"/>
      <c r="L37" s="1387"/>
      <c r="M37" s="1387"/>
      <c r="N37" s="1388"/>
      <c r="O37" s="1397" t="s">
        <v>274</v>
      </c>
      <c r="P37" s="1352"/>
      <c r="Q37" s="1352"/>
      <c r="R37" s="1352"/>
      <c r="S37" s="1352"/>
      <c r="T37" s="1398"/>
    </row>
    <row r="38" spans="1:20" ht="15.75" thickBot="1">
      <c r="A38" s="446"/>
      <c r="B38" s="447"/>
      <c r="C38" s="448"/>
      <c r="D38" s="447"/>
      <c r="E38" s="447"/>
      <c r="F38" s="447"/>
      <c r="G38" s="449"/>
      <c r="H38" s="510">
        <v>2</v>
      </c>
      <c r="I38" s="1386" t="s">
        <v>96</v>
      </c>
      <c r="J38" s="1387"/>
      <c r="K38" s="1387"/>
      <c r="L38" s="1387"/>
      <c r="M38" s="1387"/>
      <c r="N38" s="1388"/>
      <c r="O38" s="1389"/>
      <c r="P38" s="718" t="s">
        <v>274</v>
      </c>
      <c r="Q38" s="1391"/>
      <c r="R38" s="783" t="s">
        <v>274</v>
      </c>
      <c r="S38" s="781" t="s">
        <v>274</v>
      </c>
      <c r="T38" s="719" t="s">
        <v>274</v>
      </c>
    </row>
    <row r="39" spans="1:20" ht="24.75" customHeight="1" thickBot="1">
      <c r="A39" s="1394" t="s">
        <v>291</v>
      </c>
      <c r="B39" s="1395"/>
      <c r="C39" s="1395"/>
      <c r="D39" s="1395"/>
      <c r="E39" s="1395"/>
      <c r="F39" s="1395"/>
      <c r="G39" s="1396"/>
      <c r="H39" s="510">
        <v>3</v>
      </c>
      <c r="I39" s="1386" t="s">
        <v>292</v>
      </c>
      <c r="J39" s="1387"/>
      <c r="K39" s="1387"/>
      <c r="L39" s="1387"/>
      <c r="M39" s="1387"/>
      <c r="N39" s="1388"/>
      <c r="O39" s="1355"/>
      <c r="P39" s="777">
        <f>Лист1!A1*7150</f>
        <v>7865.000000000001</v>
      </c>
      <c r="Q39" s="1392"/>
      <c r="R39" s="770">
        <f>Лист1!A1*7700</f>
        <v>8470</v>
      </c>
      <c r="S39" s="777">
        <f>Лист1!A1*8100</f>
        <v>8910</v>
      </c>
      <c r="T39" s="779">
        <f>Лист1!A1*9300</f>
        <v>10230</v>
      </c>
    </row>
    <row r="40" spans="1:20" ht="15.75" thickBot="1">
      <c r="A40" s="450"/>
      <c r="B40" s="451"/>
      <c r="C40" s="452"/>
      <c r="D40" s="451"/>
      <c r="E40" s="451"/>
      <c r="F40" s="451"/>
      <c r="G40" s="453"/>
      <c r="H40" s="510">
        <v>4</v>
      </c>
      <c r="I40" s="1386" t="s">
        <v>293</v>
      </c>
      <c r="J40" s="1387"/>
      <c r="K40" s="1387"/>
      <c r="L40" s="1387"/>
      <c r="M40" s="1387"/>
      <c r="N40" s="1388"/>
      <c r="O40" s="1355"/>
      <c r="P40" s="770">
        <f>Лист1!A1*9300</f>
        <v>10230</v>
      </c>
      <c r="Q40" s="1392"/>
      <c r="R40" s="770">
        <f>Лист1!A1*11200</f>
        <v>12320.000000000002</v>
      </c>
      <c r="S40" s="782">
        <f>Лист1!A1*12600</f>
        <v>13860.000000000002</v>
      </c>
      <c r="T40" s="779">
        <f>Лист1!A1*14800</f>
        <v>16280.000000000002</v>
      </c>
    </row>
    <row r="41" spans="1:20" ht="15.75" thickBot="1">
      <c r="A41" s="439"/>
      <c r="B41" s="442"/>
      <c r="C41" s="443"/>
      <c r="D41" s="442"/>
      <c r="E41" s="442"/>
      <c r="F41" s="442"/>
      <c r="G41" s="442"/>
      <c r="H41" s="510">
        <v>5</v>
      </c>
      <c r="I41" s="1386" t="s">
        <v>191</v>
      </c>
      <c r="J41" s="1387"/>
      <c r="K41" s="1387"/>
      <c r="L41" s="1387"/>
      <c r="M41" s="1387"/>
      <c r="N41" s="1388"/>
      <c r="O41" s="1355"/>
      <c r="P41" s="785">
        <f>Лист1!A1*10150</f>
        <v>11165</v>
      </c>
      <c r="Q41" s="1392"/>
      <c r="R41" s="770">
        <f>Лист1!A1*12350</f>
        <v>13585.000000000002</v>
      </c>
      <c r="S41" s="770">
        <f>Лист1!A1*13650</f>
        <v>15015.000000000002</v>
      </c>
      <c r="T41" s="779">
        <f>Лист1!A1*15750</f>
        <v>17325</v>
      </c>
    </row>
    <row r="42" spans="1:20" ht="15.75" thickBot="1">
      <c r="A42" s="439"/>
      <c r="B42" s="442"/>
      <c r="C42" s="443"/>
      <c r="D42" s="442"/>
      <c r="E42" s="442"/>
      <c r="F42" s="442"/>
      <c r="G42" s="442"/>
      <c r="H42" s="510">
        <v>6</v>
      </c>
      <c r="I42" s="1386" t="s">
        <v>294</v>
      </c>
      <c r="J42" s="1387"/>
      <c r="K42" s="1387"/>
      <c r="L42" s="1387"/>
      <c r="M42" s="1387"/>
      <c r="N42" s="1388"/>
      <c r="O42" s="1390"/>
      <c r="P42" s="770">
        <f>Лист1!A1*10150</f>
        <v>11165</v>
      </c>
      <c r="Q42" s="1393"/>
      <c r="R42" s="770">
        <f>Лист1!A1*12350</f>
        <v>13585.000000000002</v>
      </c>
      <c r="S42" s="768">
        <f>Лист1!A1*13650</f>
        <v>15015.000000000002</v>
      </c>
      <c r="T42" s="720">
        <f>Лист1!A1*15750</f>
        <v>17325</v>
      </c>
    </row>
    <row r="43" spans="1:20" ht="15.75" thickBot="1">
      <c r="A43" s="439"/>
      <c r="B43" s="442"/>
      <c r="C43" s="661"/>
      <c r="D43" s="442"/>
      <c r="E43" s="442"/>
      <c r="F43" s="442"/>
      <c r="G43" s="442"/>
      <c r="H43" s="510">
        <v>7</v>
      </c>
      <c r="I43" s="1318" t="s">
        <v>630</v>
      </c>
      <c r="J43" s="1319"/>
      <c r="K43" s="1319"/>
      <c r="L43" s="1319"/>
      <c r="M43" s="1319"/>
      <c r="N43" s="1320"/>
      <c r="O43" s="786"/>
      <c r="P43" s="767">
        <f>Лист1!A1*10150</f>
        <v>11165</v>
      </c>
      <c r="Q43" s="784"/>
      <c r="R43" s="778">
        <f>Лист1!A1*12350</f>
        <v>13585.000000000002</v>
      </c>
      <c r="S43" s="767">
        <f>Лист1!A1*13650</f>
        <v>15015.000000000002</v>
      </c>
      <c r="T43" s="774">
        <f>Лист1!A1*15750</f>
        <v>17325</v>
      </c>
    </row>
    <row r="44" spans="1:20" ht="15.75" thickBot="1">
      <c r="A44" s="439"/>
      <c r="B44" s="442"/>
      <c r="C44" s="443"/>
      <c r="D44" s="442"/>
      <c r="E44" s="442"/>
      <c r="F44" s="442"/>
      <c r="G44" s="442"/>
      <c r="H44" s="510">
        <v>9</v>
      </c>
      <c r="I44" s="1334" t="s">
        <v>295</v>
      </c>
      <c r="J44" s="1335"/>
      <c r="K44" s="1335"/>
      <c r="L44" s="1335"/>
      <c r="M44" s="1335"/>
      <c r="N44" s="1336"/>
      <c r="O44" s="1376" t="s">
        <v>296</v>
      </c>
      <c r="P44" s="1377"/>
      <c r="Q44" s="1377"/>
      <c r="R44" s="1377"/>
      <c r="S44" s="1377"/>
      <c r="T44" s="1378"/>
    </row>
    <row r="45" spans="1:20" ht="15.75" thickBot="1">
      <c r="A45" s="1324" t="s">
        <v>101</v>
      </c>
      <c r="B45" s="1379"/>
      <c r="C45" s="1379"/>
      <c r="D45" s="1379"/>
      <c r="E45" s="1379"/>
      <c r="F45" s="1379"/>
      <c r="G45" s="1379"/>
      <c r="H45" s="1379"/>
      <c r="I45" s="1379"/>
      <c r="J45" s="1379"/>
      <c r="K45" s="1379"/>
      <c r="L45" s="1379"/>
      <c r="M45" s="1379"/>
      <c r="N45" s="1379"/>
      <c r="O45" s="1380"/>
      <c r="P45" s="1380"/>
      <c r="Q45" s="1380"/>
      <c r="R45" s="1380"/>
      <c r="S45" s="1380"/>
      <c r="T45" s="1381"/>
    </row>
    <row r="46" spans="1:20" ht="15.75" thickBot="1">
      <c r="A46" s="1382" t="s">
        <v>297</v>
      </c>
      <c r="B46" s="1347"/>
      <c r="C46" s="1347"/>
      <c r="D46" s="1347"/>
      <c r="E46" s="1347"/>
      <c r="F46" s="1347"/>
      <c r="G46" s="1347"/>
      <c r="H46" s="1347"/>
      <c r="I46" s="510">
        <v>0</v>
      </c>
      <c r="J46" s="1362" t="s">
        <v>298</v>
      </c>
      <c r="K46" s="1363"/>
      <c r="L46" s="1363"/>
      <c r="M46" s="1363"/>
      <c r="N46" s="1364"/>
      <c r="O46" s="765" t="s">
        <v>274</v>
      </c>
      <c r="P46" s="1383"/>
      <c r="Q46" s="1384"/>
      <c r="R46" s="1384"/>
      <c r="S46" s="1384"/>
      <c r="T46" s="1385"/>
    </row>
    <row r="47" spans="1:20" ht="15.75" thickBot="1">
      <c r="A47" s="439"/>
      <c r="B47" s="442"/>
      <c r="C47" s="443"/>
      <c r="D47" s="442"/>
      <c r="E47" s="442"/>
      <c r="F47" s="442"/>
      <c r="G47" s="442"/>
      <c r="H47" s="442"/>
      <c r="I47" s="510">
        <v>1</v>
      </c>
      <c r="J47" s="1362" t="s">
        <v>299</v>
      </c>
      <c r="K47" s="1363"/>
      <c r="L47" s="1363"/>
      <c r="M47" s="1363"/>
      <c r="N47" s="1364"/>
      <c r="O47" s="1365"/>
      <c r="P47" s="1367" t="s">
        <v>274</v>
      </c>
      <c r="Q47" s="1368"/>
      <c r="R47" s="1368"/>
      <c r="S47" s="1368"/>
      <c r="T47" s="1369"/>
    </row>
    <row r="48" spans="1:20" ht="15.75" thickBot="1">
      <c r="A48" s="439"/>
      <c r="B48" s="442"/>
      <c r="C48" s="443"/>
      <c r="D48" s="442"/>
      <c r="E48" s="442"/>
      <c r="F48" s="442"/>
      <c r="G48" s="442"/>
      <c r="H48" s="442"/>
      <c r="I48" s="510">
        <v>2</v>
      </c>
      <c r="J48" s="1362" t="s">
        <v>300</v>
      </c>
      <c r="K48" s="1363"/>
      <c r="L48" s="1363"/>
      <c r="M48" s="1363"/>
      <c r="N48" s="1364"/>
      <c r="O48" s="1366"/>
      <c r="P48" s="1367" t="s">
        <v>274</v>
      </c>
      <c r="Q48" s="1368"/>
      <c r="R48" s="1368"/>
      <c r="S48" s="1368"/>
      <c r="T48" s="1369"/>
    </row>
    <row r="49" spans="1:20" ht="15.75" thickBot="1">
      <c r="A49" s="1370" t="s">
        <v>301</v>
      </c>
      <c r="B49" s="1371"/>
      <c r="C49" s="1371"/>
      <c r="D49" s="1371"/>
      <c r="E49" s="1371"/>
      <c r="F49" s="1371"/>
      <c r="G49" s="1371"/>
      <c r="H49" s="1371"/>
      <c r="I49" s="1371"/>
      <c r="J49" s="1371"/>
      <c r="K49" s="1371"/>
      <c r="L49" s="1371"/>
      <c r="M49" s="1371"/>
      <c r="N49" s="1372"/>
      <c r="O49" s="1373"/>
      <c r="P49" s="1374"/>
      <c r="Q49" s="1374"/>
      <c r="R49" s="1374"/>
      <c r="S49" s="1374"/>
      <c r="T49" s="1375"/>
    </row>
    <row r="50" spans="1:20" ht="15.75" thickBot="1">
      <c r="A50" s="1346" t="s">
        <v>302</v>
      </c>
      <c r="B50" s="1347"/>
      <c r="C50" s="1347"/>
      <c r="D50" s="1347"/>
      <c r="E50" s="1347"/>
      <c r="F50" s="1347"/>
      <c r="G50" s="1347"/>
      <c r="H50" s="1347"/>
      <c r="I50" s="1348"/>
      <c r="J50" s="510"/>
      <c r="K50" s="1349" t="s">
        <v>665</v>
      </c>
      <c r="L50" s="1350"/>
      <c r="M50" s="1350"/>
      <c r="N50" s="1351"/>
      <c r="O50" s="454"/>
      <c r="P50" s="1352" t="s">
        <v>274</v>
      </c>
      <c r="Q50" s="1353"/>
      <c r="R50" s="1353"/>
      <c r="S50" s="1353"/>
      <c r="T50" s="1354"/>
    </row>
    <row r="51" spans="1:20" ht="15.75" thickBot="1">
      <c r="A51" s="1333"/>
      <c r="B51" s="1327"/>
      <c r="C51" s="1327"/>
      <c r="D51" s="1327"/>
      <c r="E51" s="1327"/>
      <c r="F51" s="1327"/>
      <c r="G51" s="1327"/>
      <c r="H51" s="1327"/>
      <c r="I51" s="1327"/>
      <c r="J51" s="510" t="s">
        <v>303</v>
      </c>
      <c r="K51" s="1329" t="s">
        <v>304</v>
      </c>
      <c r="L51" s="1329"/>
      <c r="M51" s="1329"/>
      <c r="N51" s="1329"/>
      <c r="O51" s="1355"/>
      <c r="P51" s="1337">
        <f>Лист1!A1*2900</f>
        <v>3190.0000000000005</v>
      </c>
      <c r="Q51" s="1338"/>
      <c r="R51" s="1338"/>
      <c r="S51" s="1338"/>
      <c r="T51" s="1339"/>
    </row>
    <row r="52" spans="1:20" ht="15.75" thickBot="1">
      <c r="A52" s="1333"/>
      <c r="B52" s="1327"/>
      <c r="C52" s="1327"/>
      <c r="D52" s="1327"/>
      <c r="E52" s="1327"/>
      <c r="F52" s="1327"/>
      <c r="G52" s="1327"/>
      <c r="H52" s="1327"/>
      <c r="I52" s="1327"/>
      <c r="J52" s="510" t="s">
        <v>39</v>
      </c>
      <c r="K52" s="1329" t="s">
        <v>305</v>
      </c>
      <c r="L52" s="1329"/>
      <c r="M52" s="1329"/>
      <c r="N52" s="1329"/>
      <c r="O52" s="1356"/>
      <c r="P52" s="1358">
        <f>Лист1!A1*2200</f>
        <v>2420</v>
      </c>
      <c r="Q52" s="1359"/>
      <c r="R52" s="1359"/>
      <c r="S52" s="1359"/>
      <c r="T52" s="1360"/>
    </row>
    <row r="53" spans="1:20" ht="15.75" thickBot="1">
      <c r="A53" s="1346" t="s">
        <v>306</v>
      </c>
      <c r="B53" s="1347"/>
      <c r="C53" s="1347"/>
      <c r="D53" s="1347"/>
      <c r="E53" s="1347"/>
      <c r="F53" s="1347"/>
      <c r="G53" s="1347"/>
      <c r="H53" s="1347"/>
      <c r="I53" s="1348"/>
      <c r="J53" s="510" t="s">
        <v>42</v>
      </c>
      <c r="K53" s="1329" t="s">
        <v>307</v>
      </c>
      <c r="L53" s="1329"/>
      <c r="M53" s="1329"/>
      <c r="N53" s="1329"/>
      <c r="O53" s="1356"/>
      <c r="P53" s="1343">
        <f>Лист1!A1*5900</f>
        <v>6490.000000000001</v>
      </c>
      <c r="Q53" s="1344"/>
      <c r="R53" s="1344"/>
      <c r="S53" s="1344"/>
      <c r="T53" s="1345"/>
    </row>
    <row r="54" spans="1:20" ht="15.75" thickBot="1">
      <c r="A54" s="1346" t="s">
        <v>306</v>
      </c>
      <c r="B54" s="1347"/>
      <c r="C54" s="1347"/>
      <c r="D54" s="1347"/>
      <c r="E54" s="1347"/>
      <c r="F54" s="1347"/>
      <c r="G54" s="1347"/>
      <c r="H54" s="1347"/>
      <c r="I54" s="1348"/>
      <c r="J54" s="510" t="s">
        <v>43</v>
      </c>
      <c r="K54" s="1329" t="s">
        <v>308</v>
      </c>
      <c r="L54" s="1329"/>
      <c r="M54" s="1329"/>
      <c r="N54" s="1329"/>
      <c r="O54" s="1356"/>
      <c r="P54" s="1361">
        <f>Лист1!A1*8100</f>
        <v>8910</v>
      </c>
      <c r="Q54" s="1331"/>
      <c r="R54" s="1331"/>
      <c r="S54" s="1331"/>
      <c r="T54" s="1332"/>
    </row>
    <row r="55" spans="1:20" ht="15.75" thickBot="1">
      <c r="A55" s="1346" t="s">
        <v>138</v>
      </c>
      <c r="B55" s="1347"/>
      <c r="C55" s="1347"/>
      <c r="D55" s="1347"/>
      <c r="E55" s="1347"/>
      <c r="F55" s="1347"/>
      <c r="G55" s="1347"/>
      <c r="H55" s="1347"/>
      <c r="I55" s="1348"/>
      <c r="J55" s="510" t="s">
        <v>44</v>
      </c>
      <c r="K55" s="1329" t="s">
        <v>309</v>
      </c>
      <c r="L55" s="1329"/>
      <c r="M55" s="1329"/>
      <c r="N55" s="1329"/>
      <c r="O55" s="1356"/>
      <c r="P55" s="1337">
        <f>Лист1!A1*8800</f>
        <v>9680</v>
      </c>
      <c r="Q55" s="1338"/>
      <c r="R55" s="1338"/>
      <c r="S55" s="1338"/>
      <c r="T55" s="1339"/>
    </row>
    <row r="56" spans="1:20" ht="15.75" thickBot="1">
      <c r="A56" s="1340" t="s">
        <v>306</v>
      </c>
      <c r="B56" s="1341"/>
      <c r="C56" s="1341"/>
      <c r="D56" s="1341"/>
      <c r="E56" s="1341"/>
      <c r="F56" s="1341"/>
      <c r="G56" s="1341"/>
      <c r="H56" s="1341"/>
      <c r="I56" s="1342"/>
      <c r="J56" s="510" t="s">
        <v>45</v>
      </c>
      <c r="K56" s="1329" t="s">
        <v>310</v>
      </c>
      <c r="L56" s="1329"/>
      <c r="M56" s="1329"/>
      <c r="N56" s="1329"/>
      <c r="O56" s="1356"/>
      <c r="P56" s="1337">
        <f>Лист1!A1*10500</f>
        <v>11550.000000000002</v>
      </c>
      <c r="Q56" s="1338"/>
      <c r="R56" s="1338"/>
      <c r="S56" s="1338"/>
      <c r="T56" s="1339"/>
    </row>
    <row r="57" spans="1:20" ht="15.75" thickBot="1">
      <c r="A57" s="1340" t="s">
        <v>311</v>
      </c>
      <c r="B57" s="1341"/>
      <c r="C57" s="1341"/>
      <c r="D57" s="1341"/>
      <c r="E57" s="1341"/>
      <c r="F57" s="1341"/>
      <c r="G57" s="1341"/>
      <c r="H57" s="1341"/>
      <c r="I57" s="1342"/>
      <c r="J57" s="510" t="s">
        <v>46</v>
      </c>
      <c r="K57" s="1329" t="s">
        <v>312</v>
      </c>
      <c r="L57" s="1329"/>
      <c r="M57" s="1329"/>
      <c r="N57" s="1329"/>
      <c r="O57" s="1356"/>
      <c r="P57" s="1337">
        <f>Лист1!A1*20500</f>
        <v>22550.000000000004</v>
      </c>
      <c r="Q57" s="1338"/>
      <c r="R57" s="1338"/>
      <c r="S57" s="1338"/>
      <c r="T57" s="1339"/>
    </row>
    <row r="58" spans="1:20" ht="15.75" thickBot="1">
      <c r="A58" s="1340" t="s">
        <v>306</v>
      </c>
      <c r="B58" s="1341"/>
      <c r="C58" s="1341"/>
      <c r="D58" s="1341"/>
      <c r="E58" s="1341"/>
      <c r="F58" s="1341"/>
      <c r="G58" s="1341"/>
      <c r="H58" s="1341"/>
      <c r="I58" s="1342"/>
      <c r="J58" s="510" t="s">
        <v>47</v>
      </c>
      <c r="K58" s="1329" t="s">
        <v>313</v>
      </c>
      <c r="L58" s="1329"/>
      <c r="M58" s="1329"/>
      <c r="N58" s="1329"/>
      <c r="O58" s="1356"/>
      <c r="P58" s="1330">
        <f>Лист1!A1*22200</f>
        <v>24420.000000000004</v>
      </c>
      <c r="Q58" s="1331"/>
      <c r="R58" s="1331"/>
      <c r="S58" s="1331"/>
      <c r="T58" s="1332"/>
    </row>
    <row r="59" spans="1:20" ht="15.75" thickBot="1">
      <c r="A59" s="1340" t="s">
        <v>314</v>
      </c>
      <c r="B59" s="1341"/>
      <c r="C59" s="1341"/>
      <c r="D59" s="1341"/>
      <c r="E59" s="1341"/>
      <c r="F59" s="1341"/>
      <c r="G59" s="1341"/>
      <c r="H59" s="1341"/>
      <c r="I59" s="1342"/>
      <c r="J59" s="510" t="s">
        <v>48</v>
      </c>
      <c r="K59" s="1329" t="s">
        <v>839</v>
      </c>
      <c r="L59" s="1329"/>
      <c r="M59" s="1329"/>
      <c r="N59" s="1329"/>
      <c r="O59" s="1356"/>
      <c r="P59" s="1337">
        <f>Лист1!A1*16600</f>
        <v>18260</v>
      </c>
      <c r="Q59" s="1338"/>
      <c r="R59" s="1338"/>
      <c r="S59" s="1338"/>
      <c r="T59" s="1339"/>
    </row>
    <row r="60" spans="1:20" ht="15.75" thickBot="1">
      <c r="A60" s="1340" t="s">
        <v>315</v>
      </c>
      <c r="B60" s="1341"/>
      <c r="C60" s="1341"/>
      <c r="D60" s="1341"/>
      <c r="E60" s="1341"/>
      <c r="F60" s="1341"/>
      <c r="G60" s="1341"/>
      <c r="H60" s="1341"/>
      <c r="I60" s="1342"/>
      <c r="J60" s="510" t="s">
        <v>50</v>
      </c>
      <c r="K60" s="1329" t="s">
        <v>316</v>
      </c>
      <c r="L60" s="1329"/>
      <c r="M60" s="1329"/>
      <c r="N60" s="1329"/>
      <c r="O60" s="1356"/>
      <c r="P60" s="1343">
        <f>Лист1!A1*21700</f>
        <v>23870.000000000004</v>
      </c>
      <c r="Q60" s="1344"/>
      <c r="R60" s="1344"/>
      <c r="S60" s="1344"/>
      <c r="T60" s="1345"/>
    </row>
    <row r="61" spans="1:20" ht="15.75" thickBot="1">
      <c r="A61" s="1326"/>
      <c r="B61" s="1327"/>
      <c r="C61" s="1327"/>
      <c r="D61" s="1327"/>
      <c r="E61" s="1327"/>
      <c r="F61" s="1327"/>
      <c r="G61" s="1327"/>
      <c r="H61" s="1327"/>
      <c r="I61" s="1328"/>
      <c r="J61" s="943" t="s">
        <v>317</v>
      </c>
      <c r="K61" s="1329" t="s">
        <v>666</v>
      </c>
      <c r="L61" s="1329"/>
      <c r="M61" s="1329"/>
      <c r="N61" s="1329"/>
      <c r="O61" s="1356"/>
      <c r="P61" s="1330">
        <f>Лист1!A1*9100</f>
        <v>10010</v>
      </c>
      <c r="Q61" s="1331"/>
      <c r="R61" s="1331"/>
      <c r="S61" s="1331"/>
      <c r="T61" s="1332"/>
    </row>
    <row r="62" spans="1:20" ht="15.75" thickBot="1">
      <c r="A62" s="1333"/>
      <c r="B62" s="1327"/>
      <c r="C62" s="1327"/>
      <c r="D62" s="1327"/>
      <c r="E62" s="1327"/>
      <c r="F62" s="1327"/>
      <c r="G62" s="1327"/>
      <c r="H62" s="1327"/>
      <c r="I62" s="1328"/>
      <c r="J62" s="943" t="s">
        <v>51</v>
      </c>
      <c r="K62" s="1334" t="s">
        <v>318</v>
      </c>
      <c r="L62" s="1335"/>
      <c r="M62" s="1335"/>
      <c r="N62" s="1336"/>
      <c r="O62" s="1357"/>
      <c r="P62" s="1337" t="s">
        <v>296</v>
      </c>
      <c r="Q62" s="1338"/>
      <c r="R62" s="1338"/>
      <c r="S62" s="1338"/>
      <c r="T62" s="1339"/>
    </row>
    <row r="63" spans="1:20" ht="27" customHeight="1">
      <c r="A63" s="455"/>
      <c r="B63" s="456"/>
      <c r="C63" s="457"/>
      <c r="D63" s="456"/>
      <c r="E63" s="456"/>
      <c r="F63" s="456"/>
      <c r="G63" s="456"/>
      <c r="H63" s="456"/>
      <c r="I63" s="456"/>
      <c r="J63" s="458"/>
      <c r="K63" s="459"/>
      <c r="L63" s="459"/>
      <c r="M63" s="459"/>
      <c r="N63" s="459"/>
      <c r="O63" s="1321" t="s">
        <v>319</v>
      </c>
      <c r="P63" s="1322"/>
      <c r="Q63" s="1322"/>
      <c r="R63" s="1322"/>
      <c r="S63" s="1322"/>
      <c r="T63" s="1323"/>
    </row>
    <row r="64" spans="1:20" s="463" customFormat="1" ht="15">
      <c r="A64" s="439"/>
      <c r="B64" s="442"/>
      <c r="C64" s="443"/>
      <c r="D64" s="442"/>
      <c r="E64" s="442"/>
      <c r="F64" s="442"/>
      <c r="G64" s="442"/>
      <c r="H64" s="442"/>
      <c r="I64" s="442"/>
      <c r="J64" s="459"/>
      <c r="K64" s="459"/>
      <c r="L64" s="458"/>
      <c r="M64" s="458"/>
      <c r="N64" s="458" t="s">
        <v>320</v>
      </c>
      <c r="O64" s="460"/>
      <c r="P64" s="461">
        <v>2.3</v>
      </c>
      <c r="Q64" s="460"/>
      <c r="R64" s="461">
        <v>3.1</v>
      </c>
      <c r="S64" s="461">
        <v>6.5</v>
      </c>
      <c r="T64" s="462">
        <v>10</v>
      </c>
    </row>
    <row r="65" spans="1:20" ht="15">
      <c r="A65" s="439"/>
      <c r="B65" s="442"/>
      <c r="C65" s="443"/>
      <c r="D65" s="442"/>
      <c r="E65" s="442"/>
      <c r="F65" s="442"/>
      <c r="G65" s="442"/>
      <c r="H65" s="442"/>
      <c r="I65" s="442"/>
      <c r="J65" s="442"/>
      <c r="K65" s="442"/>
      <c r="L65" s="442"/>
      <c r="M65" s="442"/>
      <c r="N65" s="458" t="s">
        <v>321</v>
      </c>
      <c r="O65" s="433">
        <v>0.2</v>
      </c>
      <c r="P65" s="433">
        <v>1.1</v>
      </c>
      <c r="Q65" s="433">
        <v>1</v>
      </c>
      <c r="R65" s="433">
        <v>1.6</v>
      </c>
      <c r="S65" s="433">
        <v>3.3</v>
      </c>
      <c r="T65" s="440">
        <v>4.6</v>
      </c>
    </row>
    <row r="66" spans="1:20" ht="6" customHeight="1">
      <c r="A66" s="455"/>
      <c r="B66" s="456"/>
      <c r="C66" s="457"/>
      <c r="D66" s="456"/>
      <c r="E66" s="456"/>
      <c r="F66" s="456"/>
      <c r="G66" s="456"/>
      <c r="H66" s="456"/>
      <c r="I66" s="456"/>
      <c r="J66" s="442"/>
      <c r="K66" s="442"/>
      <c r="L66" s="442"/>
      <c r="M66" s="442"/>
      <c r="N66" s="442"/>
      <c r="O66" s="443"/>
      <c r="P66" s="443"/>
      <c r="Q66" s="443"/>
      <c r="R66" s="443"/>
      <c r="S66" s="443"/>
      <c r="T66" s="464"/>
    </row>
    <row r="67" spans="1:20" ht="15.75" thickBot="1">
      <c r="A67" s="1324" t="s">
        <v>322</v>
      </c>
      <c r="B67" s="1325"/>
      <c r="C67" s="1325"/>
      <c r="D67" s="1325"/>
      <c r="E67" s="1325"/>
      <c r="F67" s="1325"/>
      <c r="G67" s="1325"/>
      <c r="H67" s="1325"/>
      <c r="I67" s="1325"/>
      <c r="J67" s="442"/>
      <c r="K67" s="442"/>
      <c r="L67" s="442"/>
      <c r="M67" s="442"/>
      <c r="N67" s="442"/>
      <c r="O67" s="443"/>
      <c r="P67" s="443"/>
      <c r="Q67" s="443"/>
      <c r="R67" s="443"/>
      <c r="S67" s="443"/>
      <c r="T67" s="464"/>
    </row>
    <row r="68" spans="1:20" ht="15.75" thickBot="1">
      <c r="A68" s="944" t="s">
        <v>323</v>
      </c>
      <c r="B68" s="944" t="s">
        <v>32</v>
      </c>
      <c r="C68" s="944">
        <v>3</v>
      </c>
      <c r="D68" s="944">
        <v>2</v>
      </c>
      <c r="E68" s="944">
        <v>1</v>
      </c>
      <c r="F68" s="443" t="s">
        <v>274</v>
      </c>
      <c r="G68" s="944">
        <v>2</v>
      </c>
      <c r="H68" s="944">
        <v>1</v>
      </c>
      <c r="I68" s="944">
        <v>1</v>
      </c>
      <c r="J68" s="944" t="s">
        <v>46</v>
      </c>
      <c r="K68" s="442"/>
      <c r="L68" s="442"/>
      <c r="M68" s="442"/>
      <c r="N68" s="442"/>
      <c r="O68" s="443"/>
      <c r="P68" s="443"/>
      <c r="Q68" s="443"/>
      <c r="R68" s="443"/>
      <c r="S68" s="443"/>
      <c r="T68" s="464"/>
    </row>
    <row r="69" spans="1:20" ht="10.5" customHeight="1">
      <c r="A69" s="439"/>
      <c r="B69" s="442"/>
      <c r="C69" s="443"/>
      <c r="D69" s="442"/>
      <c r="E69" s="442"/>
      <c r="F69" s="442"/>
      <c r="G69" s="442"/>
      <c r="H69" s="442"/>
      <c r="I69" s="442"/>
      <c r="J69" s="442"/>
      <c r="K69" s="442"/>
      <c r="L69" s="442"/>
      <c r="M69" s="442"/>
      <c r="N69" s="442"/>
      <c r="O69" s="443"/>
      <c r="P69" s="443"/>
      <c r="Q69" s="443"/>
      <c r="R69" s="443"/>
      <c r="S69" s="443"/>
      <c r="T69" s="464"/>
    </row>
    <row r="70" spans="1:20" ht="15">
      <c r="A70" s="673" t="s">
        <v>324</v>
      </c>
      <c r="B70" s="442"/>
      <c r="C70" s="443" t="s">
        <v>325</v>
      </c>
      <c r="D70" s="1326" t="s">
        <v>326</v>
      </c>
      <c r="E70" s="1326"/>
      <c r="F70" s="1326"/>
      <c r="G70" s="1326"/>
      <c r="H70" s="1326"/>
      <c r="I70" s="1326"/>
      <c r="J70" s="1326"/>
      <c r="K70" s="1326"/>
      <c r="L70" s="1326"/>
      <c r="M70" s="1326"/>
      <c r="N70" s="1326"/>
      <c r="O70" s="443"/>
      <c r="P70" s="443"/>
      <c r="Q70" s="443"/>
      <c r="R70" s="443"/>
      <c r="S70" s="443"/>
      <c r="T70" s="464"/>
    </row>
    <row r="71" spans="1:20" ht="15">
      <c r="A71" s="439"/>
      <c r="B71" s="442"/>
      <c r="C71" s="443" t="s">
        <v>327</v>
      </c>
      <c r="D71" s="1326" t="s">
        <v>328</v>
      </c>
      <c r="E71" s="1326"/>
      <c r="F71" s="1326"/>
      <c r="G71" s="1326"/>
      <c r="H71" s="1326"/>
      <c r="I71" s="1326"/>
      <c r="J71" s="1326"/>
      <c r="K71" s="1326"/>
      <c r="L71" s="1326"/>
      <c r="M71" s="1326"/>
      <c r="N71" s="1326"/>
      <c r="O71" s="443"/>
      <c r="P71" s="443"/>
      <c r="Q71" s="443"/>
      <c r="R71" s="443"/>
      <c r="S71" s="443"/>
      <c r="T71" s="464"/>
    </row>
    <row r="72" spans="1:20" ht="6" customHeight="1">
      <c r="A72" s="455"/>
      <c r="B72" s="456"/>
      <c r="C72" s="457"/>
      <c r="D72" s="456"/>
      <c r="E72" s="456"/>
      <c r="F72" s="456"/>
      <c r="G72" s="456"/>
      <c r="H72" s="456"/>
      <c r="I72" s="456"/>
      <c r="J72" s="442"/>
      <c r="K72" s="442"/>
      <c r="L72" s="442"/>
      <c r="M72" s="442"/>
      <c r="N72" s="442"/>
      <c r="O72" s="443"/>
      <c r="P72" s="443"/>
      <c r="Q72" s="443"/>
      <c r="R72" s="443"/>
      <c r="S72" s="443"/>
      <c r="T72" s="464"/>
    </row>
    <row r="73" spans="1:20" ht="15.75" thickBot="1">
      <c r="A73" s="466"/>
      <c r="B73" s="467"/>
      <c r="C73" s="468" t="s">
        <v>234</v>
      </c>
      <c r="D73" s="469"/>
      <c r="E73" s="469"/>
      <c r="F73" s="469"/>
      <c r="G73" s="469"/>
      <c r="H73" s="469"/>
      <c r="I73" s="469"/>
      <c r="J73" s="470"/>
      <c r="K73" s="470"/>
      <c r="L73" s="470"/>
      <c r="M73" s="471"/>
      <c r="N73" s="471"/>
      <c r="O73" s="441"/>
      <c r="P73" s="441"/>
      <c r="Q73" s="441"/>
      <c r="R73" s="441"/>
      <c r="S73" s="441"/>
      <c r="T73" s="472"/>
    </row>
    <row r="74" spans="1:20" ht="15">
      <c r="A74" s="465"/>
      <c r="B74" s="465"/>
      <c r="C74" s="473"/>
      <c r="D74" s="465"/>
      <c r="E74" s="465"/>
      <c r="F74" s="465"/>
      <c r="G74" s="465"/>
      <c r="H74" s="465"/>
      <c r="I74" s="465"/>
      <c r="J74" s="465"/>
      <c r="K74" s="465"/>
      <c r="L74" s="465"/>
      <c r="M74" s="465"/>
      <c r="N74" s="465"/>
      <c r="O74" s="473"/>
      <c r="P74" s="473"/>
      <c r="Q74" s="473"/>
      <c r="R74" s="473"/>
      <c r="S74" s="473"/>
      <c r="T74" s="473"/>
    </row>
    <row r="75" spans="1:20" ht="15">
      <c r="A75" s="465"/>
      <c r="B75" s="465"/>
      <c r="C75" s="473"/>
      <c r="D75" s="465"/>
      <c r="E75" s="465"/>
      <c r="F75" s="465"/>
      <c r="G75" s="465"/>
      <c r="H75" s="465"/>
      <c r="I75" s="465"/>
      <c r="J75" s="465"/>
      <c r="K75" s="465"/>
      <c r="L75" s="465"/>
      <c r="M75" s="465"/>
      <c r="N75" s="465"/>
      <c r="O75" s="473"/>
      <c r="P75" s="473"/>
      <c r="Q75" s="473"/>
      <c r="R75" s="473"/>
      <c r="S75" s="473"/>
      <c r="T75" s="473"/>
    </row>
    <row r="76" spans="1:20" ht="15">
      <c r="A76" s="465"/>
      <c r="B76" s="465"/>
      <c r="C76" s="473"/>
      <c r="D76" s="465"/>
      <c r="E76" s="465"/>
      <c r="F76" s="465"/>
      <c r="G76" s="465"/>
      <c r="H76" s="465"/>
      <c r="I76" s="465"/>
      <c r="J76" s="465"/>
      <c r="K76" s="465"/>
      <c r="L76" s="465"/>
      <c r="M76" s="465"/>
      <c r="N76" s="465"/>
      <c r="O76" s="473"/>
      <c r="P76" s="473"/>
      <c r="Q76" s="473"/>
      <c r="R76" s="473"/>
      <c r="S76" s="473"/>
      <c r="T76" s="473"/>
    </row>
    <row r="77" spans="1:20" ht="15">
      <c r="A77" s="465"/>
      <c r="B77" s="465"/>
      <c r="C77" s="473"/>
      <c r="D77" s="465"/>
      <c r="E77" s="465"/>
      <c r="F77" s="465"/>
      <c r="G77" s="465"/>
      <c r="H77" s="465"/>
      <c r="I77" s="465"/>
      <c r="J77" s="465"/>
      <c r="K77" s="465"/>
      <c r="L77" s="465"/>
      <c r="M77" s="465"/>
      <c r="N77" s="465"/>
      <c r="O77" s="473"/>
      <c r="P77" s="473"/>
      <c r="Q77" s="473"/>
      <c r="R77" s="473"/>
      <c r="S77" s="473"/>
      <c r="T77" s="473"/>
    </row>
    <row r="78" spans="1:20" ht="15">
      <c r="A78" s="465"/>
      <c r="B78" s="465"/>
      <c r="C78" s="473"/>
      <c r="D78" s="465"/>
      <c r="E78" s="465"/>
      <c r="F78" s="465"/>
      <c r="G78" s="465"/>
      <c r="H78" s="465"/>
      <c r="I78" s="465"/>
      <c r="J78" s="465"/>
      <c r="K78" s="465"/>
      <c r="L78" s="465"/>
      <c r="M78" s="465"/>
      <c r="N78" s="465"/>
      <c r="O78" s="473"/>
      <c r="P78" s="473"/>
      <c r="Q78" s="473"/>
      <c r="R78" s="473"/>
      <c r="S78" s="473"/>
      <c r="T78" s="473"/>
    </row>
    <row r="79" spans="1:20" ht="15">
      <c r="A79" s="465"/>
      <c r="B79" s="465"/>
      <c r="C79" s="473"/>
      <c r="D79" s="465"/>
      <c r="E79" s="465"/>
      <c r="F79" s="465"/>
      <c r="G79" s="465"/>
      <c r="H79" s="465"/>
      <c r="I79" s="465"/>
      <c r="J79" s="465"/>
      <c r="K79" s="465"/>
      <c r="L79" s="465"/>
      <c r="M79" s="465"/>
      <c r="N79" s="465"/>
      <c r="O79" s="473"/>
      <c r="P79" s="473"/>
      <c r="Q79" s="473"/>
      <c r="R79" s="473"/>
      <c r="S79" s="473"/>
      <c r="T79" s="473"/>
    </row>
    <row r="80" spans="1:20" ht="15">
      <c r="A80" s="465"/>
      <c r="B80" s="465"/>
      <c r="C80" s="473"/>
      <c r="D80" s="465"/>
      <c r="E80" s="465"/>
      <c r="F80" s="465"/>
      <c r="G80" s="465"/>
      <c r="H80" s="465"/>
      <c r="I80" s="465"/>
      <c r="J80" s="465"/>
      <c r="K80" s="465"/>
      <c r="L80" s="465"/>
      <c r="M80" s="465"/>
      <c r="N80" s="465"/>
      <c r="O80" s="473"/>
      <c r="P80" s="473"/>
      <c r="Q80" s="473"/>
      <c r="R80" s="473"/>
      <c r="S80" s="473"/>
      <c r="T80" s="473"/>
    </row>
    <row r="81" spans="1:20" ht="15">
      <c r="A81" s="465"/>
      <c r="B81" s="465"/>
      <c r="C81" s="473"/>
      <c r="D81" s="465"/>
      <c r="E81" s="465"/>
      <c r="F81" s="465"/>
      <c r="G81" s="465"/>
      <c r="H81" s="465"/>
      <c r="I81" s="465"/>
      <c r="J81" s="465"/>
      <c r="K81" s="465"/>
      <c r="L81" s="465"/>
      <c r="M81" s="465"/>
      <c r="N81" s="465"/>
      <c r="O81" s="473"/>
      <c r="P81" s="473"/>
      <c r="Q81" s="473"/>
      <c r="R81" s="473"/>
      <c r="S81" s="473"/>
      <c r="T81" s="473"/>
    </row>
    <row r="82" spans="1:20" ht="15">
      <c r="A82" s="465"/>
      <c r="B82" s="465"/>
      <c r="C82" s="473"/>
      <c r="D82" s="465"/>
      <c r="E82" s="465"/>
      <c r="F82" s="465"/>
      <c r="G82" s="465"/>
      <c r="H82" s="465"/>
      <c r="I82" s="465"/>
      <c r="J82" s="465"/>
      <c r="K82" s="465"/>
      <c r="L82" s="465"/>
      <c r="M82" s="465"/>
      <c r="N82" s="465"/>
      <c r="O82" s="473"/>
      <c r="P82" s="473"/>
      <c r="Q82" s="473"/>
      <c r="R82" s="473"/>
      <c r="S82" s="473"/>
      <c r="T82" s="473"/>
    </row>
    <row r="83" spans="1:20" ht="15">
      <c r="A83" s="465"/>
      <c r="B83" s="465"/>
      <c r="C83" s="473"/>
      <c r="D83" s="465"/>
      <c r="E83" s="465"/>
      <c r="F83" s="465"/>
      <c r="G83" s="465"/>
      <c r="H83" s="465"/>
      <c r="I83" s="465"/>
      <c r="J83" s="465"/>
      <c r="K83" s="465"/>
      <c r="L83" s="465"/>
      <c r="M83" s="465"/>
      <c r="N83" s="465"/>
      <c r="O83" s="473"/>
      <c r="P83" s="473"/>
      <c r="Q83" s="473"/>
      <c r="R83" s="473"/>
      <c r="S83" s="473"/>
      <c r="T83" s="473"/>
    </row>
    <row r="84" spans="1:20" ht="15">
      <c r="A84" s="465"/>
      <c r="B84" s="465"/>
      <c r="C84" s="473"/>
      <c r="D84" s="465"/>
      <c r="E84" s="465"/>
      <c r="F84" s="465"/>
      <c r="G84" s="465"/>
      <c r="H84" s="465"/>
      <c r="I84" s="465"/>
      <c r="J84" s="465"/>
      <c r="K84" s="465"/>
      <c r="L84" s="465"/>
      <c r="M84" s="465"/>
      <c r="N84" s="465"/>
      <c r="O84" s="473"/>
      <c r="P84" s="473"/>
      <c r="Q84" s="473"/>
      <c r="R84" s="473"/>
      <c r="S84" s="473"/>
      <c r="T84" s="473"/>
    </row>
    <row r="85" spans="1:20" ht="15">
      <c r="A85" s="465"/>
      <c r="B85" s="465"/>
      <c r="C85" s="473"/>
      <c r="D85" s="465"/>
      <c r="E85" s="465"/>
      <c r="F85" s="465"/>
      <c r="G85" s="465"/>
      <c r="H85" s="465"/>
      <c r="I85" s="465"/>
      <c r="J85" s="465"/>
      <c r="K85" s="465"/>
      <c r="L85" s="465"/>
      <c r="M85" s="465"/>
      <c r="N85" s="465"/>
      <c r="O85" s="473"/>
      <c r="P85" s="473"/>
      <c r="Q85" s="473"/>
      <c r="R85" s="473"/>
      <c r="S85" s="473"/>
      <c r="T85" s="473"/>
    </row>
    <row r="86" spans="1:20" ht="15">
      <c r="A86" s="465"/>
      <c r="B86" s="465"/>
      <c r="C86" s="473"/>
      <c r="D86" s="465"/>
      <c r="E86" s="465"/>
      <c r="F86" s="465"/>
      <c r="G86" s="465"/>
      <c r="H86" s="465"/>
      <c r="I86" s="465"/>
      <c r="J86" s="465"/>
      <c r="K86" s="465"/>
      <c r="L86" s="465"/>
      <c r="M86" s="465"/>
      <c r="N86" s="465"/>
      <c r="O86" s="473"/>
      <c r="P86" s="473"/>
      <c r="Q86" s="473"/>
      <c r="R86" s="473"/>
      <c r="S86" s="473"/>
      <c r="T86" s="473"/>
    </row>
    <row r="87" spans="1:20" ht="15">
      <c r="A87" s="465"/>
      <c r="B87" s="465"/>
      <c r="C87" s="473"/>
      <c r="D87" s="465"/>
      <c r="E87" s="465"/>
      <c r="F87" s="465"/>
      <c r="G87" s="465"/>
      <c r="H87" s="465"/>
      <c r="I87" s="465"/>
      <c r="J87" s="465"/>
      <c r="K87" s="465"/>
      <c r="L87" s="465"/>
      <c r="M87" s="465"/>
      <c r="N87" s="465"/>
      <c r="O87" s="473"/>
      <c r="P87" s="473"/>
      <c r="Q87" s="473"/>
      <c r="R87" s="473"/>
      <c r="S87" s="473"/>
      <c r="T87" s="473"/>
    </row>
    <row r="88" spans="1:20" ht="15">
      <c r="A88" s="465"/>
      <c r="B88" s="465"/>
      <c r="C88" s="473"/>
      <c r="D88" s="465"/>
      <c r="E88" s="465"/>
      <c r="F88" s="465"/>
      <c r="G88" s="465"/>
      <c r="H88" s="465"/>
      <c r="I88" s="465"/>
      <c r="J88" s="465"/>
      <c r="K88" s="465"/>
      <c r="L88" s="465"/>
      <c r="M88" s="465"/>
      <c r="N88" s="465"/>
      <c r="O88" s="473"/>
      <c r="P88" s="473"/>
      <c r="Q88" s="473"/>
      <c r="R88" s="473"/>
      <c r="S88" s="473"/>
      <c r="T88" s="473"/>
    </row>
    <row r="89" spans="1:20" ht="15">
      <c r="A89" s="465"/>
      <c r="B89" s="465"/>
      <c r="C89" s="473"/>
      <c r="D89" s="465"/>
      <c r="E89" s="465"/>
      <c r="F89" s="465"/>
      <c r="G89" s="465"/>
      <c r="H89" s="465"/>
      <c r="I89" s="465"/>
      <c r="J89" s="465"/>
      <c r="K89" s="465"/>
      <c r="L89" s="465"/>
      <c r="M89" s="465"/>
      <c r="N89" s="465"/>
      <c r="O89" s="473"/>
      <c r="P89" s="473"/>
      <c r="Q89" s="473"/>
      <c r="R89" s="473"/>
      <c r="S89" s="473"/>
      <c r="T89" s="473"/>
    </row>
    <row r="90" spans="1:20" ht="15">
      <c r="A90" s="465"/>
      <c r="B90" s="465"/>
      <c r="C90" s="473"/>
      <c r="D90" s="465"/>
      <c r="E90" s="465"/>
      <c r="F90" s="465"/>
      <c r="G90" s="465"/>
      <c r="H90" s="465"/>
      <c r="I90" s="465"/>
      <c r="J90" s="465"/>
      <c r="K90" s="465"/>
      <c r="L90" s="465"/>
      <c r="M90" s="465"/>
      <c r="N90" s="465"/>
      <c r="O90" s="473"/>
      <c r="P90" s="473"/>
      <c r="Q90" s="473"/>
      <c r="R90" s="473"/>
      <c r="S90" s="473"/>
      <c r="T90" s="473"/>
    </row>
    <row r="91" spans="1:20" ht="15">
      <c r="A91" s="465"/>
      <c r="B91" s="465"/>
      <c r="C91" s="473"/>
      <c r="D91" s="465"/>
      <c r="E91" s="465"/>
      <c r="F91" s="465"/>
      <c r="G91" s="465"/>
      <c r="H91" s="465"/>
      <c r="I91" s="465"/>
      <c r="J91" s="465"/>
      <c r="K91" s="465"/>
      <c r="L91" s="465"/>
      <c r="M91" s="465"/>
      <c r="N91" s="465"/>
      <c r="O91" s="473"/>
      <c r="P91" s="473"/>
      <c r="Q91" s="473"/>
      <c r="R91" s="473"/>
      <c r="S91" s="473"/>
      <c r="T91" s="473"/>
    </row>
    <row r="92" spans="1:20" ht="15">
      <c r="A92" s="465"/>
      <c r="B92" s="465"/>
      <c r="C92" s="473"/>
      <c r="D92" s="465"/>
      <c r="E92" s="465"/>
      <c r="F92" s="465"/>
      <c r="G92" s="465"/>
      <c r="H92" s="465"/>
      <c r="I92" s="465"/>
      <c r="J92" s="465"/>
      <c r="K92" s="465"/>
      <c r="L92" s="465"/>
      <c r="M92" s="465"/>
      <c r="N92" s="465"/>
      <c r="O92" s="473"/>
      <c r="P92" s="473"/>
      <c r="Q92" s="473"/>
      <c r="R92" s="473"/>
      <c r="S92" s="473"/>
      <c r="T92" s="473"/>
    </row>
    <row r="93" spans="1:20" ht="15">
      <c r="A93" s="465"/>
      <c r="B93" s="465"/>
      <c r="C93" s="473"/>
      <c r="D93" s="465"/>
      <c r="E93" s="465"/>
      <c r="F93" s="465"/>
      <c r="G93" s="465"/>
      <c r="H93" s="465"/>
      <c r="I93" s="465"/>
      <c r="J93" s="465"/>
      <c r="K93" s="465"/>
      <c r="L93" s="465"/>
      <c r="M93" s="465"/>
      <c r="N93" s="465"/>
      <c r="O93" s="473"/>
      <c r="P93" s="473"/>
      <c r="Q93" s="473"/>
      <c r="R93" s="473"/>
      <c r="S93" s="473"/>
      <c r="T93" s="473"/>
    </row>
    <row r="94" spans="1:20" ht="15">
      <c r="A94" s="465"/>
      <c r="B94" s="465"/>
      <c r="C94" s="473"/>
      <c r="D94" s="465"/>
      <c r="E94" s="465"/>
      <c r="F94" s="465"/>
      <c r="G94" s="465"/>
      <c r="H94" s="465"/>
      <c r="I94" s="465"/>
      <c r="J94" s="465"/>
      <c r="K94" s="465"/>
      <c r="L94" s="465"/>
      <c r="M94" s="465"/>
      <c r="N94" s="465"/>
      <c r="O94" s="473"/>
      <c r="P94" s="473"/>
      <c r="Q94" s="473"/>
      <c r="R94" s="473"/>
      <c r="S94" s="473"/>
      <c r="T94" s="473"/>
    </row>
    <row r="95" spans="1:20" ht="15">
      <c r="A95" s="465"/>
      <c r="B95" s="465"/>
      <c r="C95" s="473"/>
      <c r="D95" s="465"/>
      <c r="E95" s="465"/>
      <c r="F95" s="465"/>
      <c r="G95" s="465"/>
      <c r="H95" s="465"/>
      <c r="I95" s="465"/>
      <c r="J95" s="465"/>
      <c r="K95" s="465"/>
      <c r="L95" s="465"/>
      <c r="M95" s="465"/>
      <c r="N95" s="465"/>
      <c r="O95" s="473"/>
      <c r="P95" s="473"/>
      <c r="Q95" s="473"/>
      <c r="R95" s="473"/>
      <c r="S95" s="473"/>
      <c r="T95" s="473"/>
    </row>
    <row r="96" spans="1:20" ht="15">
      <c r="A96" s="465"/>
      <c r="B96" s="465"/>
      <c r="C96" s="473"/>
      <c r="D96" s="465"/>
      <c r="E96" s="465"/>
      <c r="F96" s="465"/>
      <c r="G96" s="465"/>
      <c r="H96" s="465"/>
      <c r="I96" s="465"/>
      <c r="J96" s="465"/>
      <c r="K96" s="465"/>
      <c r="L96" s="465"/>
      <c r="M96" s="465"/>
      <c r="N96" s="465"/>
      <c r="O96" s="473"/>
      <c r="P96" s="473"/>
      <c r="Q96" s="473"/>
      <c r="R96" s="473"/>
      <c r="S96" s="473"/>
      <c r="T96" s="473"/>
    </row>
    <row r="97" spans="1:20" ht="15">
      <c r="A97" s="465"/>
      <c r="B97" s="465"/>
      <c r="C97" s="473"/>
      <c r="D97" s="465"/>
      <c r="E97" s="465"/>
      <c r="F97" s="465"/>
      <c r="G97" s="465"/>
      <c r="H97" s="465"/>
      <c r="I97" s="465"/>
      <c r="J97" s="465"/>
      <c r="K97" s="465"/>
      <c r="L97" s="465"/>
      <c r="M97" s="465"/>
      <c r="N97" s="465"/>
      <c r="O97" s="473"/>
      <c r="P97" s="473"/>
      <c r="Q97" s="473"/>
      <c r="R97" s="473"/>
      <c r="S97" s="473"/>
      <c r="T97" s="473"/>
    </row>
    <row r="98" spans="1:20" ht="15">
      <c r="A98" s="465"/>
      <c r="B98" s="465"/>
      <c r="C98" s="473"/>
      <c r="D98" s="465"/>
      <c r="E98" s="465"/>
      <c r="F98" s="465"/>
      <c r="G98" s="465"/>
      <c r="H98" s="465"/>
      <c r="I98" s="465"/>
      <c r="J98" s="465"/>
      <c r="K98" s="465"/>
      <c r="L98" s="465"/>
      <c r="M98" s="465"/>
      <c r="N98" s="465"/>
      <c r="O98" s="473"/>
      <c r="P98" s="473"/>
      <c r="Q98" s="473"/>
      <c r="R98" s="473"/>
      <c r="S98" s="473"/>
      <c r="T98" s="473"/>
    </row>
    <row r="99" spans="1:20" ht="15">
      <c r="A99" s="465"/>
      <c r="B99" s="465"/>
      <c r="C99" s="473"/>
      <c r="D99" s="465"/>
      <c r="E99" s="465"/>
      <c r="F99" s="465"/>
      <c r="G99" s="465"/>
      <c r="H99" s="465"/>
      <c r="I99" s="465"/>
      <c r="J99" s="465"/>
      <c r="K99" s="465"/>
      <c r="L99" s="465"/>
      <c r="M99" s="465"/>
      <c r="N99" s="465"/>
      <c r="O99" s="473"/>
      <c r="P99" s="473"/>
      <c r="Q99" s="473"/>
      <c r="R99" s="473"/>
      <c r="S99" s="473"/>
      <c r="T99" s="473"/>
    </row>
    <row r="100" spans="1:20" ht="15">
      <c r="A100" s="465"/>
      <c r="B100" s="465"/>
      <c r="C100" s="473"/>
      <c r="D100" s="465"/>
      <c r="E100" s="465"/>
      <c r="F100" s="465"/>
      <c r="G100" s="465"/>
      <c r="H100" s="465"/>
      <c r="I100" s="465"/>
      <c r="J100" s="465"/>
      <c r="K100" s="465"/>
      <c r="L100" s="465"/>
      <c r="M100" s="465"/>
      <c r="N100" s="465"/>
      <c r="O100" s="473"/>
      <c r="P100" s="473"/>
      <c r="Q100" s="473"/>
      <c r="R100" s="473"/>
      <c r="S100" s="473"/>
      <c r="T100" s="473"/>
    </row>
    <row r="101" spans="1:20" ht="15">
      <c r="A101" s="465"/>
      <c r="B101" s="465"/>
      <c r="C101" s="473"/>
      <c r="D101" s="465"/>
      <c r="E101" s="465"/>
      <c r="F101" s="465"/>
      <c r="G101" s="465"/>
      <c r="H101" s="465"/>
      <c r="I101" s="465"/>
      <c r="J101" s="465"/>
      <c r="K101" s="465"/>
      <c r="L101" s="465"/>
      <c r="M101" s="465"/>
      <c r="N101" s="465"/>
      <c r="O101" s="473"/>
      <c r="P101" s="473"/>
      <c r="Q101" s="473"/>
      <c r="R101" s="473"/>
      <c r="S101" s="473"/>
      <c r="T101" s="473"/>
    </row>
    <row r="102" spans="1:20" ht="15">
      <c r="A102" s="465"/>
      <c r="B102" s="465"/>
      <c r="C102" s="473"/>
      <c r="D102" s="465"/>
      <c r="E102" s="465"/>
      <c r="F102" s="465"/>
      <c r="G102" s="465"/>
      <c r="H102" s="465"/>
      <c r="I102" s="465"/>
      <c r="J102" s="465"/>
      <c r="K102" s="465"/>
      <c r="L102" s="465"/>
      <c r="M102" s="465"/>
      <c r="N102" s="465"/>
      <c r="O102" s="473"/>
      <c r="P102" s="473"/>
      <c r="Q102" s="473"/>
      <c r="R102" s="473"/>
      <c r="S102" s="473"/>
      <c r="T102" s="473"/>
    </row>
    <row r="103" spans="1:20" ht="15">
      <c r="A103" s="465"/>
      <c r="B103" s="465"/>
      <c r="C103" s="473"/>
      <c r="D103" s="465"/>
      <c r="E103" s="465"/>
      <c r="F103" s="465"/>
      <c r="G103" s="465"/>
      <c r="H103" s="465"/>
      <c r="I103" s="465"/>
      <c r="J103" s="465"/>
      <c r="K103" s="465"/>
      <c r="L103" s="465"/>
      <c r="M103" s="465"/>
      <c r="N103" s="465"/>
      <c r="O103" s="473"/>
      <c r="P103" s="473"/>
      <c r="Q103" s="473"/>
      <c r="R103" s="473"/>
      <c r="S103" s="473"/>
      <c r="T103" s="473"/>
    </row>
    <row r="104" spans="1:20" ht="15">
      <c r="A104" s="465"/>
      <c r="B104" s="465"/>
      <c r="C104" s="473"/>
      <c r="D104" s="465"/>
      <c r="E104" s="465"/>
      <c r="F104" s="465"/>
      <c r="G104" s="465"/>
      <c r="H104" s="465"/>
      <c r="I104" s="465"/>
      <c r="J104" s="465"/>
      <c r="K104" s="465"/>
      <c r="L104" s="465"/>
      <c r="M104" s="465"/>
      <c r="N104" s="465"/>
      <c r="O104" s="473"/>
      <c r="P104" s="473"/>
      <c r="Q104" s="473"/>
      <c r="R104" s="473"/>
      <c r="S104" s="473"/>
      <c r="T104" s="473"/>
    </row>
    <row r="105" spans="1:20" ht="15">
      <c r="A105" s="465"/>
      <c r="B105" s="465"/>
      <c r="C105" s="473"/>
      <c r="D105" s="465"/>
      <c r="E105" s="465"/>
      <c r="F105" s="465"/>
      <c r="G105" s="465"/>
      <c r="H105" s="465"/>
      <c r="I105" s="465"/>
      <c r="J105" s="465"/>
      <c r="K105" s="465"/>
      <c r="L105" s="465"/>
      <c r="M105" s="465"/>
      <c r="N105" s="465"/>
      <c r="O105" s="473"/>
      <c r="P105" s="473"/>
      <c r="Q105" s="473"/>
      <c r="R105" s="473"/>
      <c r="S105" s="473"/>
      <c r="T105" s="473"/>
    </row>
    <row r="106" spans="1:20" ht="15">
      <c r="A106" s="465"/>
      <c r="B106" s="465"/>
      <c r="C106" s="473"/>
      <c r="D106" s="465"/>
      <c r="E106" s="465"/>
      <c r="F106" s="465"/>
      <c r="G106" s="465"/>
      <c r="H106" s="465"/>
      <c r="I106" s="465"/>
      <c r="J106" s="465"/>
      <c r="K106" s="465"/>
      <c r="L106" s="465"/>
      <c r="M106" s="465"/>
      <c r="N106" s="465"/>
      <c r="O106" s="473"/>
      <c r="P106" s="473"/>
      <c r="Q106" s="473"/>
      <c r="R106" s="473"/>
      <c r="S106" s="473"/>
      <c r="T106" s="473"/>
    </row>
    <row r="107" spans="1:20" ht="15">
      <c r="A107" s="465"/>
      <c r="B107" s="465"/>
      <c r="C107" s="473"/>
      <c r="D107" s="465"/>
      <c r="E107" s="465"/>
      <c r="F107" s="465"/>
      <c r="G107" s="465"/>
      <c r="H107" s="465"/>
      <c r="I107" s="465"/>
      <c r="J107" s="465"/>
      <c r="K107" s="465"/>
      <c r="L107" s="465"/>
      <c r="M107" s="465"/>
      <c r="N107" s="465"/>
      <c r="O107" s="473"/>
      <c r="P107" s="473"/>
      <c r="Q107" s="473"/>
      <c r="R107" s="473"/>
      <c r="S107" s="473"/>
      <c r="T107" s="473"/>
    </row>
    <row r="108" spans="1:20" ht="15">
      <c r="A108" s="465"/>
      <c r="B108" s="465"/>
      <c r="C108" s="473"/>
      <c r="D108" s="465"/>
      <c r="E108" s="465"/>
      <c r="F108" s="465"/>
      <c r="G108" s="465"/>
      <c r="H108" s="465"/>
      <c r="I108" s="465"/>
      <c r="J108" s="465"/>
      <c r="K108" s="465"/>
      <c r="L108" s="465"/>
      <c r="M108" s="465"/>
      <c r="N108" s="465"/>
      <c r="O108" s="473"/>
      <c r="P108" s="473"/>
      <c r="Q108" s="473"/>
      <c r="R108" s="473"/>
      <c r="S108" s="473"/>
      <c r="T108" s="473"/>
    </row>
    <row r="109" spans="1:20" ht="15">
      <c r="A109" s="465"/>
      <c r="B109" s="465"/>
      <c r="C109" s="473"/>
      <c r="D109" s="465"/>
      <c r="E109" s="465"/>
      <c r="F109" s="465"/>
      <c r="G109" s="465"/>
      <c r="H109" s="465"/>
      <c r="I109" s="465"/>
      <c r="J109" s="465"/>
      <c r="K109" s="465"/>
      <c r="L109" s="465"/>
      <c r="M109" s="465"/>
      <c r="N109" s="465"/>
      <c r="O109" s="473"/>
      <c r="P109" s="473"/>
      <c r="Q109" s="473"/>
      <c r="R109" s="473"/>
      <c r="S109" s="473"/>
      <c r="T109" s="473"/>
    </row>
    <row r="110" spans="1:20" ht="15">
      <c r="A110" s="465"/>
      <c r="B110" s="465"/>
      <c r="C110" s="473"/>
      <c r="D110" s="465"/>
      <c r="E110" s="465"/>
      <c r="F110" s="465"/>
      <c r="G110" s="465"/>
      <c r="H110" s="465"/>
      <c r="I110" s="465"/>
      <c r="J110" s="465"/>
      <c r="K110" s="465"/>
      <c r="L110" s="465"/>
      <c r="M110" s="465"/>
      <c r="N110" s="465"/>
      <c r="O110" s="473"/>
      <c r="P110" s="473"/>
      <c r="Q110" s="473"/>
      <c r="R110" s="473"/>
      <c r="S110" s="473"/>
      <c r="T110" s="473"/>
    </row>
    <row r="111" spans="1:20" ht="15">
      <c r="A111" s="465"/>
      <c r="B111" s="465"/>
      <c r="C111" s="473"/>
      <c r="D111" s="465"/>
      <c r="E111" s="465"/>
      <c r="F111" s="465"/>
      <c r="G111" s="465"/>
      <c r="H111" s="465"/>
      <c r="I111" s="465"/>
      <c r="J111" s="465"/>
      <c r="K111" s="465"/>
      <c r="L111" s="465"/>
      <c r="M111" s="465"/>
      <c r="N111" s="465"/>
      <c r="O111" s="473"/>
      <c r="P111" s="473"/>
      <c r="Q111" s="473"/>
      <c r="R111" s="473"/>
      <c r="S111" s="473"/>
      <c r="T111" s="473"/>
    </row>
    <row r="112" spans="1:20" ht="15">
      <c r="A112" s="465"/>
      <c r="B112" s="465"/>
      <c r="C112" s="473"/>
      <c r="D112" s="465"/>
      <c r="E112" s="465"/>
      <c r="F112" s="465"/>
      <c r="G112" s="465"/>
      <c r="H112" s="465"/>
      <c r="I112" s="465"/>
      <c r="J112" s="465"/>
      <c r="K112" s="465"/>
      <c r="L112" s="465"/>
      <c r="M112" s="465"/>
      <c r="N112" s="465"/>
      <c r="O112" s="473"/>
      <c r="P112" s="473"/>
      <c r="Q112" s="473"/>
      <c r="R112" s="473"/>
      <c r="S112" s="473"/>
      <c r="T112" s="473"/>
    </row>
    <row r="113" spans="1:20" ht="15">
      <c r="A113" s="465"/>
      <c r="B113" s="465"/>
      <c r="C113" s="473"/>
      <c r="D113" s="465"/>
      <c r="E113" s="465"/>
      <c r="F113" s="465"/>
      <c r="G113" s="465"/>
      <c r="H113" s="465"/>
      <c r="I113" s="465"/>
      <c r="J113" s="465"/>
      <c r="K113" s="465"/>
      <c r="L113" s="465"/>
      <c r="M113" s="465"/>
      <c r="N113" s="465"/>
      <c r="O113" s="473"/>
      <c r="P113" s="473"/>
      <c r="Q113" s="473"/>
      <c r="R113" s="473"/>
      <c r="S113" s="473"/>
      <c r="T113" s="473"/>
    </row>
    <row r="114" spans="1:20" ht="15">
      <c r="A114" s="465"/>
      <c r="B114" s="465"/>
      <c r="C114" s="473"/>
      <c r="D114" s="465"/>
      <c r="E114" s="465"/>
      <c r="F114" s="465"/>
      <c r="G114" s="465"/>
      <c r="H114" s="465"/>
      <c r="I114" s="465"/>
      <c r="J114" s="465"/>
      <c r="K114" s="465"/>
      <c r="L114" s="465"/>
      <c r="M114" s="465"/>
      <c r="N114" s="465"/>
      <c r="O114" s="473"/>
      <c r="P114" s="473"/>
      <c r="Q114" s="473"/>
      <c r="R114" s="473"/>
      <c r="S114" s="473"/>
      <c r="T114" s="473"/>
    </row>
    <row r="115" spans="1:20" ht="15">
      <c r="A115" s="465"/>
      <c r="B115" s="465"/>
      <c r="C115" s="473"/>
      <c r="D115" s="465"/>
      <c r="E115" s="465"/>
      <c r="F115" s="465"/>
      <c r="G115" s="465"/>
      <c r="H115" s="465"/>
      <c r="I115" s="465"/>
      <c r="J115" s="465"/>
      <c r="K115" s="465"/>
      <c r="L115" s="465"/>
      <c r="M115" s="465"/>
      <c r="N115" s="465"/>
      <c r="O115" s="473"/>
      <c r="P115" s="473"/>
      <c r="Q115" s="473"/>
      <c r="R115" s="473"/>
      <c r="S115" s="473"/>
      <c r="T115" s="473"/>
    </row>
    <row r="116" spans="1:20" ht="15">
      <c r="A116" s="465"/>
      <c r="B116" s="465"/>
      <c r="C116" s="473"/>
      <c r="D116" s="465"/>
      <c r="E116" s="465"/>
      <c r="F116" s="465"/>
      <c r="G116" s="465"/>
      <c r="H116" s="465"/>
      <c r="I116" s="465"/>
      <c r="J116" s="465"/>
      <c r="K116" s="465"/>
      <c r="L116" s="465"/>
      <c r="M116" s="465"/>
      <c r="N116" s="465"/>
      <c r="O116" s="473"/>
      <c r="P116" s="473"/>
      <c r="Q116" s="473"/>
      <c r="R116" s="473"/>
      <c r="S116" s="473"/>
      <c r="T116" s="473"/>
    </row>
    <row r="117" spans="1:20" ht="15">
      <c r="A117" s="465"/>
      <c r="B117" s="465"/>
      <c r="C117" s="473"/>
      <c r="D117" s="465"/>
      <c r="E117" s="465"/>
      <c r="F117" s="465"/>
      <c r="G117" s="465"/>
      <c r="H117" s="465"/>
      <c r="I117" s="465"/>
      <c r="J117" s="465"/>
      <c r="K117" s="465"/>
      <c r="L117" s="465"/>
      <c r="M117" s="465"/>
      <c r="N117" s="465"/>
      <c r="O117" s="473"/>
      <c r="P117" s="473"/>
      <c r="Q117" s="473"/>
      <c r="R117" s="473"/>
      <c r="S117" s="473"/>
      <c r="T117" s="473"/>
    </row>
    <row r="118" spans="1:20" ht="15">
      <c r="A118" s="465"/>
      <c r="B118" s="465"/>
      <c r="C118" s="473"/>
      <c r="D118" s="465"/>
      <c r="E118" s="465"/>
      <c r="F118" s="465"/>
      <c r="G118" s="465"/>
      <c r="H118" s="465"/>
      <c r="I118" s="465"/>
      <c r="J118" s="465"/>
      <c r="K118" s="465"/>
      <c r="L118" s="465"/>
      <c r="M118" s="465"/>
      <c r="N118" s="465"/>
      <c r="O118" s="473"/>
      <c r="P118" s="473"/>
      <c r="Q118" s="473"/>
      <c r="R118" s="473"/>
      <c r="S118" s="473"/>
      <c r="T118" s="473"/>
    </row>
    <row r="119" spans="1:20" ht="15">
      <c r="A119" s="465"/>
      <c r="B119" s="465"/>
      <c r="C119" s="473"/>
      <c r="D119" s="465"/>
      <c r="E119" s="465"/>
      <c r="F119" s="465"/>
      <c r="G119" s="465"/>
      <c r="H119" s="465"/>
      <c r="I119" s="465"/>
      <c r="J119" s="465"/>
      <c r="K119" s="465"/>
      <c r="L119" s="465"/>
      <c r="M119" s="465"/>
      <c r="N119" s="465"/>
      <c r="O119" s="473"/>
      <c r="P119" s="473"/>
      <c r="Q119" s="473"/>
      <c r="R119" s="473"/>
      <c r="S119" s="473"/>
      <c r="T119" s="473"/>
    </row>
    <row r="120" spans="1:20" ht="15">
      <c r="A120" s="465"/>
      <c r="B120" s="465"/>
      <c r="C120" s="473"/>
      <c r="D120" s="465"/>
      <c r="E120" s="465"/>
      <c r="F120" s="465"/>
      <c r="G120" s="465"/>
      <c r="H120" s="465"/>
      <c r="I120" s="465"/>
      <c r="J120" s="465"/>
      <c r="K120" s="465"/>
      <c r="L120" s="465"/>
      <c r="M120" s="465"/>
      <c r="N120" s="465"/>
      <c r="O120" s="473"/>
      <c r="P120" s="473"/>
      <c r="Q120" s="473"/>
      <c r="R120" s="473"/>
      <c r="S120" s="473"/>
      <c r="T120" s="473"/>
    </row>
    <row r="121" spans="1:20" ht="15">
      <c r="A121" s="465"/>
      <c r="B121" s="465"/>
      <c r="C121" s="473"/>
      <c r="D121" s="465"/>
      <c r="E121" s="465"/>
      <c r="F121" s="465"/>
      <c r="G121" s="465"/>
      <c r="H121" s="465"/>
      <c r="I121" s="465"/>
      <c r="J121" s="465"/>
      <c r="K121" s="465"/>
      <c r="L121" s="465"/>
      <c r="M121" s="465"/>
      <c r="N121" s="465"/>
      <c r="O121" s="473"/>
      <c r="P121" s="473"/>
      <c r="Q121" s="473"/>
      <c r="R121" s="473"/>
      <c r="S121" s="473"/>
      <c r="T121" s="473"/>
    </row>
    <row r="122" spans="1:20" ht="15">
      <c r="A122" s="465"/>
      <c r="B122" s="465"/>
      <c r="C122" s="473"/>
      <c r="D122" s="465"/>
      <c r="E122" s="465"/>
      <c r="F122" s="465"/>
      <c r="G122" s="465"/>
      <c r="H122" s="465"/>
      <c r="I122" s="465"/>
      <c r="J122" s="465"/>
      <c r="K122" s="465"/>
      <c r="L122" s="465"/>
      <c r="M122" s="465"/>
      <c r="N122" s="465"/>
      <c r="O122" s="473"/>
      <c r="P122" s="473"/>
      <c r="Q122" s="473"/>
      <c r="R122" s="473"/>
      <c r="S122" s="473"/>
      <c r="T122" s="473"/>
    </row>
    <row r="123" spans="1:20" ht="15">
      <c r="A123" s="465"/>
      <c r="B123" s="465"/>
      <c r="C123" s="473"/>
      <c r="D123" s="465"/>
      <c r="E123" s="465"/>
      <c r="F123" s="465"/>
      <c r="G123" s="465"/>
      <c r="H123" s="465"/>
      <c r="I123" s="465"/>
      <c r="J123" s="465"/>
      <c r="K123" s="465"/>
      <c r="L123" s="465"/>
      <c r="M123" s="465"/>
      <c r="N123" s="465"/>
      <c r="O123" s="473"/>
      <c r="P123" s="473"/>
      <c r="Q123" s="473"/>
      <c r="R123" s="473"/>
      <c r="S123" s="473"/>
      <c r="T123" s="473"/>
    </row>
    <row r="124" spans="1:20" ht="15">
      <c r="A124" s="465"/>
      <c r="B124" s="465"/>
      <c r="C124" s="473"/>
      <c r="D124" s="465"/>
      <c r="E124" s="465"/>
      <c r="F124" s="465"/>
      <c r="G124" s="465"/>
      <c r="H124" s="465"/>
      <c r="I124" s="465"/>
      <c r="J124" s="465"/>
      <c r="K124" s="465"/>
      <c r="L124" s="465"/>
      <c r="M124" s="465"/>
      <c r="N124" s="465"/>
      <c r="O124" s="473"/>
      <c r="P124" s="473"/>
      <c r="Q124" s="473"/>
      <c r="R124" s="473"/>
      <c r="S124" s="473"/>
      <c r="T124" s="473"/>
    </row>
    <row r="125" spans="1:20" ht="15">
      <c r="A125" s="465"/>
      <c r="B125" s="465"/>
      <c r="C125" s="473"/>
      <c r="D125" s="465"/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O125" s="473"/>
      <c r="P125" s="473"/>
      <c r="Q125" s="473"/>
      <c r="R125" s="473"/>
      <c r="S125" s="473"/>
      <c r="T125" s="473"/>
    </row>
    <row r="126" spans="1:20" ht="15">
      <c r="A126" s="465"/>
      <c r="B126" s="465"/>
      <c r="C126" s="473"/>
      <c r="D126" s="465"/>
      <c r="E126" s="465"/>
      <c r="F126" s="465"/>
      <c r="G126" s="465"/>
      <c r="H126" s="465"/>
      <c r="I126" s="465"/>
      <c r="J126" s="465"/>
      <c r="K126" s="465"/>
      <c r="L126" s="465"/>
      <c r="M126" s="465"/>
      <c r="N126" s="465"/>
      <c r="O126" s="473"/>
      <c r="P126" s="473"/>
      <c r="Q126" s="473"/>
      <c r="R126" s="473"/>
      <c r="S126" s="473"/>
      <c r="T126" s="473"/>
    </row>
    <row r="127" spans="1:20" ht="15">
      <c r="A127" s="465"/>
      <c r="B127" s="465"/>
      <c r="C127" s="473"/>
      <c r="D127" s="465"/>
      <c r="E127" s="465"/>
      <c r="F127" s="465"/>
      <c r="G127" s="465"/>
      <c r="H127" s="465"/>
      <c r="I127" s="465"/>
      <c r="J127" s="465"/>
      <c r="K127" s="465"/>
      <c r="L127" s="465"/>
      <c r="M127" s="465"/>
      <c r="N127" s="465"/>
      <c r="O127" s="473"/>
      <c r="P127" s="473"/>
      <c r="Q127" s="473"/>
      <c r="R127" s="473"/>
      <c r="S127" s="473"/>
      <c r="T127" s="473"/>
    </row>
    <row r="128" spans="1:20" ht="15">
      <c r="A128" s="465"/>
      <c r="B128" s="465"/>
      <c r="C128" s="473"/>
      <c r="D128" s="465"/>
      <c r="E128" s="465"/>
      <c r="F128" s="465"/>
      <c r="G128" s="465"/>
      <c r="H128" s="465"/>
      <c r="I128" s="465"/>
      <c r="J128" s="465"/>
      <c r="K128" s="465"/>
      <c r="L128" s="465"/>
      <c r="M128" s="465"/>
      <c r="N128" s="465"/>
      <c r="O128" s="473"/>
      <c r="P128" s="473"/>
      <c r="Q128" s="473"/>
      <c r="R128" s="473"/>
      <c r="S128" s="473"/>
      <c r="T128" s="473"/>
    </row>
    <row r="129" spans="1:20" ht="15">
      <c r="A129" s="465"/>
      <c r="B129" s="465"/>
      <c r="C129" s="473"/>
      <c r="D129" s="465"/>
      <c r="E129" s="465"/>
      <c r="F129" s="465"/>
      <c r="G129" s="465"/>
      <c r="H129" s="465"/>
      <c r="I129" s="465"/>
      <c r="J129" s="465"/>
      <c r="K129" s="465"/>
      <c r="L129" s="465"/>
      <c r="M129" s="465"/>
      <c r="N129" s="465"/>
      <c r="O129" s="473"/>
      <c r="P129" s="473"/>
      <c r="Q129" s="473"/>
      <c r="R129" s="473"/>
      <c r="S129" s="473"/>
      <c r="T129" s="473"/>
    </row>
    <row r="130" spans="1:20" ht="15">
      <c r="A130" s="465"/>
      <c r="B130" s="465"/>
      <c r="C130" s="473"/>
      <c r="D130" s="465"/>
      <c r="E130" s="465"/>
      <c r="F130" s="465"/>
      <c r="G130" s="465"/>
      <c r="H130" s="465"/>
      <c r="I130" s="465"/>
      <c r="J130" s="465"/>
      <c r="K130" s="465"/>
      <c r="L130" s="465"/>
      <c r="M130" s="465"/>
      <c r="N130" s="465"/>
      <c r="O130" s="473"/>
      <c r="P130" s="473"/>
      <c r="Q130" s="473"/>
      <c r="R130" s="473"/>
      <c r="S130" s="473"/>
      <c r="T130" s="473"/>
    </row>
    <row r="131" spans="1:20" ht="15">
      <c r="A131" s="465"/>
      <c r="B131" s="465"/>
      <c r="C131" s="473"/>
      <c r="D131" s="465"/>
      <c r="E131" s="465"/>
      <c r="F131" s="465"/>
      <c r="G131" s="465"/>
      <c r="H131" s="465"/>
      <c r="I131" s="465"/>
      <c r="J131" s="465"/>
      <c r="K131" s="465"/>
      <c r="L131" s="465"/>
      <c r="M131" s="465"/>
      <c r="N131" s="465"/>
      <c r="O131" s="473"/>
      <c r="P131" s="473"/>
      <c r="Q131" s="473"/>
      <c r="R131" s="473"/>
      <c r="S131" s="473"/>
      <c r="T131" s="473"/>
    </row>
    <row r="132" spans="1:20" ht="15">
      <c r="A132" s="465"/>
      <c r="B132" s="465"/>
      <c r="C132" s="473"/>
      <c r="D132" s="465"/>
      <c r="E132" s="465"/>
      <c r="F132" s="465"/>
      <c r="G132" s="465"/>
      <c r="H132" s="465"/>
      <c r="I132" s="465"/>
      <c r="J132" s="465"/>
      <c r="K132" s="465"/>
      <c r="L132" s="465"/>
      <c r="M132" s="465"/>
      <c r="N132" s="465"/>
      <c r="O132" s="473"/>
      <c r="P132" s="473"/>
      <c r="Q132" s="473"/>
      <c r="R132" s="473"/>
      <c r="S132" s="473"/>
      <c r="T132" s="473"/>
    </row>
    <row r="133" spans="1:20" ht="15">
      <c r="A133" s="465"/>
      <c r="B133" s="465"/>
      <c r="C133" s="473"/>
      <c r="D133" s="465"/>
      <c r="E133" s="465"/>
      <c r="F133" s="465"/>
      <c r="G133" s="465"/>
      <c r="H133" s="465"/>
      <c r="I133" s="465"/>
      <c r="J133" s="465"/>
      <c r="K133" s="465"/>
      <c r="L133" s="465"/>
      <c r="M133" s="465"/>
      <c r="N133" s="465"/>
      <c r="O133" s="473"/>
      <c r="P133" s="473"/>
      <c r="Q133" s="473"/>
      <c r="R133" s="473"/>
      <c r="S133" s="473"/>
      <c r="T133" s="473"/>
    </row>
    <row r="134" spans="1:20" ht="15">
      <c r="A134" s="465"/>
      <c r="B134" s="465"/>
      <c r="C134" s="473"/>
      <c r="D134" s="465"/>
      <c r="E134" s="465"/>
      <c r="F134" s="465"/>
      <c r="G134" s="465"/>
      <c r="H134" s="465"/>
      <c r="I134" s="465"/>
      <c r="J134" s="465"/>
      <c r="K134" s="465"/>
      <c r="L134" s="465"/>
      <c r="M134" s="465"/>
      <c r="N134" s="465"/>
      <c r="O134" s="473"/>
      <c r="P134" s="473"/>
      <c r="Q134" s="473"/>
      <c r="R134" s="473"/>
      <c r="S134" s="473"/>
      <c r="T134" s="473"/>
    </row>
    <row r="135" spans="1:20" ht="15">
      <c r="A135" s="465"/>
      <c r="B135" s="465"/>
      <c r="C135" s="473"/>
      <c r="D135" s="465"/>
      <c r="E135" s="465"/>
      <c r="F135" s="465"/>
      <c r="G135" s="465"/>
      <c r="H135" s="465"/>
      <c r="I135" s="465"/>
      <c r="J135" s="465"/>
      <c r="K135" s="465"/>
      <c r="L135" s="465"/>
      <c r="M135" s="465"/>
      <c r="N135" s="465"/>
      <c r="O135" s="473"/>
      <c r="P135" s="473"/>
      <c r="Q135" s="473"/>
      <c r="R135" s="473"/>
      <c r="S135" s="473"/>
      <c r="T135" s="473"/>
    </row>
    <row r="136" spans="1:20" ht="15">
      <c r="A136" s="465"/>
      <c r="B136" s="465"/>
      <c r="C136" s="473"/>
      <c r="D136" s="465"/>
      <c r="E136" s="465"/>
      <c r="F136" s="465"/>
      <c r="G136" s="465"/>
      <c r="H136" s="465"/>
      <c r="I136" s="465"/>
      <c r="J136" s="465"/>
      <c r="K136" s="465"/>
      <c r="L136" s="465"/>
      <c r="M136" s="465"/>
      <c r="N136" s="465"/>
      <c r="O136" s="473"/>
      <c r="P136" s="473"/>
      <c r="Q136" s="473"/>
      <c r="R136" s="473"/>
      <c r="S136" s="473"/>
      <c r="T136" s="473"/>
    </row>
    <row r="137" spans="1:20" ht="15">
      <c r="A137" s="465"/>
      <c r="B137" s="465"/>
      <c r="C137" s="473"/>
      <c r="D137" s="465"/>
      <c r="E137" s="465"/>
      <c r="F137" s="465"/>
      <c r="G137" s="465"/>
      <c r="H137" s="465"/>
      <c r="I137" s="465"/>
      <c r="J137" s="465"/>
      <c r="K137" s="465"/>
      <c r="L137" s="465"/>
      <c r="M137" s="465"/>
      <c r="N137" s="465"/>
      <c r="O137" s="473"/>
      <c r="P137" s="473"/>
      <c r="Q137" s="473"/>
      <c r="R137" s="473"/>
      <c r="S137" s="473"/>
      <c r="T137" s="473"/>
    </row>
    <row r="138" spans="1:20" ht="15">
      <c r="A138" s="465"/>
      <c r="B138" s="465"/>
      <c r="C138" s="473"/>
      <c r="D138" s="465"/>
      <c r="E138" s="465"/>
      <c r="F138" s="465"/>
      <c r="G138" s="465"/>
      <c r="H138" s="465"/>
      <c r="I138" s="465"/>
      <c r="J138" s="465"/>
      <c r="K138" s="465"/>
      <c r="L138" s="465"/>
      <c r="M138" s="465"/>
      <c r="N138" s="465"/>
      <c r="O138" s="473"/>
      <c r="P138" s="473"/>
      <c r="Q138" s="473"/>
      <c r="R138" s="473"/>
      <c r="S138" s="473"/>
      <c r="T138" s="473"/>
    </row>
    <row r="139" spans="1:20" ht="15">
      <c r="A139" s="465"/>
      <c r="B139" s="465"/>
      <c r="C139" s="473"/>
      <c r="D139" s="465"/>
      <c r="E139" s="465"/>
      <c r="F139" s="465"/>
      <c r="G139" s="465"/>
      <c r="H139" s="465"/>
      <c r="I139" s="465"/>
      <c r="J139" s="465"/>
      <c r="K139" s="465"/>
      <c r="L139" s="465"/>
      <c r="M139" s="465"/>
      <c r="N139" s="465"/>
      <c r="O139" s="473"/>
      <c r="P139" s="473"/>
      <c r="Q139" s="473"/>
      <c r="R139" s="473"/>
      <c r="S139" s="473"/>
      <c r="T139" s="473"/>
    </row>
    <row r="140" spans="1:20" ht="15">
      <c r="A140" s="465"/>
      <c r="B140" s="465"/>
      <c r="C140" s="473"/>
      <c r="D140" s="465"/>
      <c r="E140" s="465"/>
      <c r="F140" s="465"/>
      <c r="G140" s="465"/>
      <c r="H140" s="465"/>
      <c r="I140" s="465"/>
      <c r="J140" s="465"/>
      <c r="K140" s="465"/>
      <c r="L140" s="465"/>
      <c r="M140" s="465"/>
      <c r="N140" s="465"/>
      <c r="O140" s="473"/>
      <c r="P140" s="473"/>
      <c r="Q140" s="473"/>
      <c r="R140" s="473"/>
      <c r="S140" s="473"/>
      <c r="T140" s="473"/>
    </row>
    <row r="141" spans="1:20" ht="15">
      <c r="A141" s="465"/>
      <c r="B141" s="465"/>
      <c r="C141" s="473"/>
      <c r="D141" s="465"/>
      <c r="E141" s="465"/>
      <c r="F141" s="465"/>
      <c r="G141" s="465"/>
      <c r="H141" s="465"/>
      <c r="I141" s="465"/>
      <c r="J141" s="465"/>
      <c r="K141" s="465"/>
      <c r="L141" s="465"/>
      <c r="M141" s="465"/>
      <c r="N141" s="465"/>
      <c r="O141" s="473"/>
      <c r="P141" s="473"/>
      <c r="Q141" s="473"/>
      <c r="R141" s="473"/>
      <c r="S141" s="473"/>
      <c r="T141" s="473"/>
    </row>
    <row r="142" spans="1:20" ht="15">
      <c r="A142" s="465"/>
      <c r="B142" s="465"/>
      <c r="C142" s="473"/>
      <c r="D142" s="465"/>
      <c r="E142" s="465"/>
      <c r="F142" s="465"/>
      <c r="G142" s="465"/>
      <c r="H142" s="465"/>
      <c r="I142" s="465"/>
      <c r="J142" s="465"/>
      <c r="K142" s="465"/>
      <c r="L142" s="465"/>
      <c r="M142" s="465"/>
      <c r="N142" s="465"/>
      <c r="O142" s="473"/>
      <c r="P142" s="473"/>
      <c r="Q142" s="473"/>
      <c r="R142" s="473"/>
      <c r="S142" s="473"/>
      <c r="T142" s="473"/>
    </row>
    <row r="143" spans="1:20" ht="15">
      <c r="A143" s="465"/>
      <c r="B143" s="465"/>
      <c r="C143" s="473"/>
      <c r="D143" s="465"/>
      <c r="E143" s="465"/>
      <c r="F143" s="465"/>
      <c r="G143" s="465"/>
      <c r="H143" s="465"/>
      <c r="I143" s="465"/>
      <c r="J143" s="465"/>
      <c r="K143" s="465"/>
      <c r="L143" s="465"/>
      <c r="M143" s="465"/>
      <c r="N143" s="465"/>
      <c r="O143" s="473"/>
      <c r="P143" s="473"/>
      <c r="Q143" s="473"/>
      <c r="R143" s="473"/>
      <c r="S143" s="473"/>
      <c r="T143" s="473"/>
    </row>
    <row r="144" spans="1:20" ht="15">
      <c r="A144" s="465"/>
      <c r="B144" s="465"/>
      <c r="C144" s="473"/>
      <c r="D144" s="465"/>
      <c r="E144" s="465"/>
      <c r="F144" s="465"/>
      <c r="G144" s="465"/>
      <c r="H144" s="465"/>
      <c r="I144" s="465"/>
      <c r="J144" s="465"/>
      <c r="K144" s="465"/>
      <c r="L144" s="465"/>
      <c r="M144" s="465"/>
      <c r="N144" s="465"/>
      <c r="O144" s="473"/>
      <c r="P144" s="473"/>
      <c r="Q144" s="473"/>
      <c r="R144" s="473"/>
      <c r="S144" s="473"/>
      <c r="T144" s="473"/>
    </row>
    <row r="145" spans="1:20" ht="15">
      <c r="A145" s="465"/>
      <c r="B145" s="465"/>
      <c r="C145" s="473"/>
      <c r="D145" s="465"/>
      <c r="E145" s="465"/>
      <c r="F145" s="465"/>
      <c r="G145" s="465"/>
      <c r="H145" s="465"/>
      <c r="I145" s="465"/>
      <c r="J145" s="465"/>
      <c r="K145" s="465"/>
      <c r="L145" s="465"/>
      <c r="M145" s="465"/>
      <c r="N145" s="465"/>
      <c r="O145" s="473"/>
      <c r="P145" s="473"/>
      <c r="Q145" s="473"/>
      <c r="R145" s="473"/>
      <c r="S145" s="473"/>
      <c r="T145" s="473"/>
    </row>
    <row r="146" spans="1:20" ht="15">
      <c r="A146" s="465"/>
      <c r="B146" s="465"/>
      <c r="C146" s="473"/>
      <c r="D146" s="465"/>
      <c r="E146" s="465"/>
      <c r="F146" s="465"/>
      <c r="G146" s="465"/>
      <c r="H146" s="465"/>
      <c r="I146" s="465"/>
      <c r="J146" s="465"/>
      <c r="K146" s="465"/>
      <c r="L146" s="465"/>
      <c r="M146" s="465"/>
      <c r="N146" s="465"/>
      <c r="O146" s="473"/>
      <c r="P146" s="473"/>
      <c r="Q146" s="473"/>
      <c r="R146" s="473"/>
      <c r="S146" s="473"/>
      <c r="T146" s="473"/>
    </row>
    <row r="147" spans="1:20" ht="15">
      <c r="A147" s="465"/>
      <c r="B147" s="465"/>
      <c r="C147" s="473"/>
      <c r="D147" s="465"/>
      <c r="E147" s="465"/>
      <c r="F147" s="465"/>
      <c r="G147" s="465"/>
      <c r="H147" s="465"/>
      <c r="I147" s="465"/>
      <c r="J147" s="465"/>
      <c r="K147" s="465"/>
      <c r="L147" s="465"/>
      <c r="M147" s="465"/>
      <c r="N147" s="465"/>
      <c r="O147" s="473"/>
      <c r="P147" s="473"/>
      <c r="Q147" s="473"/>
      <c r="R147" s="473"/>
      <c r="S147" s="473"/>
      <c r="T147" s="473"/>
    </row>
    <row r="148" spans="1:20" ht="15">
      <c r="A148" s="465"/>
      <c r="B148" s="465"/>
      <c r="C148" s="473"/>
      <c r="D148" s="465"/>
      <c r="E148" s="465"/>
      <c r="F148" s="465"/>
      <c r="G148" s="465"/>
      <c r="H148" s="465"/>
      <c r="I148" s="465"/>
      <c r="J148" s="465"/>
      <c r="K148" s="465"/>
      <c r="L148" s="465"/>
      <c r="M148" s="465"/>
      <c r="N148" s="465"/>
      <c r="O148" s="473"/>
      <c r="P148" s="473"/>
      <c r="Q148" s="473"/>
      <c r="R148" s="473"/>
      <c r="S148" s="473"/>
      <c r="T148" s="473"/>
    </row>
    <row r="149" spans="1:20" ht="15">
      <c r="A149" s="465"/>
      <c r="B149" s="465"/>
      <c r="C149" s="473"/>
      <c r="D149" s="465"/>
      <c r="E149" s="465"/>
      <c r="F149" s="465"/>
      <c r="G149" s="465"/>
      <c r="H149" s="465"/>
      <c r="I149" s="465"/>
      <c r="J149" s="465"/>
      <c r="K149" s="465"/>
      <c r="L149" s="465"/>
      <c r="M149" s="465"/>
      <c r="N149" s="465"/>
      <c r="O149" s="473"/>
      <c r="P149" s="473"/>
      <c r="Q149" s="473"/>
      <c r="R149" s="473"/>
      <c r="S149" s="473"/>
      <c r="T149" s="473"/>
    </row>
    <row r="150" spans="1:20" ht="15">
      <c r="A150" s="465"/>
      <c r="B150" s="465"/>
      <c r="C150" s="473"/>
      <c r="D150" s="465"/>
      <c r="E150" s="465"/>
      <c r="F150" s="465"/>
      <c r="G150" s="465"/>
      <c r="H150" s="465"/>
      <c r="I150" s="465"/>
      <c r="J150" s="465"/>
      <c r="K150" s="465"/>
      <c r="L150" s="465"/>
      <c r="M150" s="465"/>
      <c r="N150" s="465"/>
      <c r="O150" s="473"/>
      <c r="P150" s="473"/>
      <c r="Q150" s="473"/>
      <c r="R150" s="473"/>
      <c r="S150" s="473"/>
      <c r="T150" s="473"/>
    </row>
    <row r="151" spans="1:20" ht="15">
      <c r="A151" s="465"/>
      <c r="B151" s="465"/>
      <c r="C151" s="473"/>
      <c r="D151" s="465"/>
      <c r="E151" s="465"/>
      <c r="F151" s="465"/>
      <c r="G151" s="465"/>
      <c r="H151" s="465"/>
      <c r="I151" s="465"/>
      <c r="J151" s="465"/>
      <c r="K151" s="465"/>
      <c r="L151" s="465"/>
      <c r="M151" s="465"/>
      <c r="N151" s="465"/>
      <c r="O151" s="473"/>
      <c r="P151" s="473"/>
      <c r="Q151" s="473"/>
      <c r="R151" s="473"/>
      <c r="S151" s="473"/>
      <c r="T151" s="473"/>
    </row>
    <row r="152" spans="1:20" ht="15">
      <c r="A152" s="465"/>
      <c r="B152" s="465"/>
      <c r="C152" s="473"/>
      <c r="D152" s="465"/>
      <c r="E152" s="465"/>
      <c r="F152" s="465"/>
      <c r="G152" s="465"/>
      <c r="H152" s="465"/>
      <c r="I152" s="465"/>
      <c r="J152" s="465"/>
      <c r="K152" s="465"/>
      <c r="L152" s="465"/>
      <c r="M152" s="465"/>
      <c r="N152" s="465"/>
      <c r="O152" s="473"/>
      <c r="P152" s="473"/>
      <c r="Q152" s="473"/>
      <c r="R152" s="473"/>
      <c r="S152" s="473"/>
      <c r="T152" s="473"/>
    </row>
    <row r="153" spans="1:20" ht="15">
      <c r="A153" s="465"/>
      <c r="B153" s="465"/>
      <c r="C153" s="473"/>
      <c r="D153" s="465"/>
      <c r="E153" s="465"/>
      <c r="F153" s="465"/>
      <c r="G153" s="465"/>
      <c r="H153" s="465"/>
      <c r="I153" s="465"/>
      <c r="J153" s="465"/>
      <c r="K153" s="465"/>
      <c r="L153" s="465"/>
      <c r="M153" s="465"/>
      <c r="N153" s="465"/>
      <c r="O153" s="473"/>
      <c r="P153" s="473"/>
      <c r="Q153" s="473"/>
      <c r="R153" s="473"/>
      <c r="S153" s="473"/>
      <c r="T153" s="473"/>
    </row>
    <row r="154" spans="1:20" ht="15">
      <c r="A154" s="465"/>
      <c r="B154" s="465"/>
      <c r="C154" s="473"/>
      <c r="D154" s="465"/>
      <c r="E154" s="465"/>
      <c r="F154" s="465"/>
      <c r="G154" s="465"/>
      <c r="H154" s="465"/>
      <c r="I154" s="465"/>
      <c r="J154" s="465"/>
      <c r="K154" s="465"/>
      <c r="L154" s="465"/>
      <c r="M154" s="465"/>
      <c r="N154" s="465"/>
      <c r="O154" s="473"/>
      <c r="P154" s="473"/>
      <c r="Q154" s="473"/>
      <c r="R154" s="473"/>
      <c r="S154" s="473"/>
      <c r="T154" s="473"/>
    </row>
    <row r="155" spans="1:20" ht="15">
      <c r="A155" s="465"/>
      <c r="B155" s="465"/>
      <c r="C155" s="473"/>
      <c r="D155" s="465"/>
      <c r="E155" s="465"/>
      <c r="F155" s="465"/>
      <c r="G155" s="465"/>
      <c r="H155" s="465"/>
      <c r="I155" s="465"/>
      <c r="J155" s="465"/>
      <c r="K155" s="465"/>
      <c r="L155" s="465"/>
      <c r="M155" s="465"/>
      <c r="N155" s="465"/>
      <c r="O155" s="473"/>
      <c r="P155" s="473"/>
      <c r="Q155" s="473"/>
      <c r="R155" s="473"/>
      <c r="S155" s="473"/>
      <c r="T155" s="473"/>
    </row>
    <row r="156" spans="1:20" ht="15">
      <c r="A156" s="465"/>
      <c r="B156" s="465"/>
      <c r="C156" s="473"/>
      <c r="D156" s="465"/>
      <c r="E156" s="465"/>
      <c r="F156" s="465"/>
      <c r="G156" s="465"/>
      <c r="H156" s="465"/>
      <c r="I156" s="465"/>
      <c r="J156" s="465"/>
      <c r="K156" s="465"/>
      <c r="L156" s="465"/>
      <c r="M156" s="465"/>
      <c r="N156" s="465"/>
      <c r="O156" s="473"/>
      <c r="P156" s="473"/>
      <c r="Q156" s="473"/>
      <c r="R156" s="473"/>
      <c r="S156" s="473"/>
      <c r="T156" s="473"/>
    </row>
    <row r="157" spans="1:20" ht="15">
      <c r="A157" s="465"/>
      <c r="B157" s="465"/>
      <c r="C157" s="473"/>
      <c r="D157" s="465"/>
      <c r="E157" s="465"/>
      <c r="F157" s="465"/>
      <c r="G157" s="465"/>
      <c r="H157" s="465"/>
      <c r="I157" s="465"/>
      <c r="J157" s="465"/>
      <c r="K157" s="465"/>
      <c r="L157" s="465"/>
      <c r="M157" s="465"/>
      <c r="N157" s="465"/>
      <c r="O157" s="473"/>
      <c r="P157" s="473"/>
      <c r="Q157" s="473"/>
      <c r="R157" s="473"/>
      <c r="S157" s="473"/>
      <c r="T157" s="473"/>
    </row>
    <row r="158" spans="1:20" ht="15">
      <c r="A158" s="465"/>
      <c r="B158" s="465"/>
      <c r="C158" s="473"/>
      <c r="D158" s="465"/>
      <c r="E158" s="465"/>
      <c r="F158" s="465"/>
      <c r="G158" s="465"/>
      <c r="H158" s="465"/>
      <c r="I158" s="465"/>
      <c r="J158" s="465"/>
      <c r="K158" s="465"/>
      <c r="L158" s="465"/>
      <c r="M158" s="465"/>
      <c r="N158" s="465"/>
      <c r="O158" s="473"/>
      <c r="P158" s="473"/>
      <c r="Q158" s="473"/>
      <c r="R158" s="473"/>
      <c r="S158" s="473"/>
      <c r="T158" s="473"/>
    </row>
    <row r="159" spans="1:20" ht="15">
      <c r="A159" s="465"/>
      <c r="B159" s="465"/>
      <c r="C159" s="473"/>
      <c r="D159" s="465"/>
      <c r="E159" s="465"/>
      <c r="F159" s="465"/>
      <c r="G159" s="465"/>
      <c r="H159" s="465"/>
      <c r="I159" s="465"/>
      <c r="J159" s="465"/>
      <c r="K159" s="465"/>
      <c r="L159" s="465"/>
      <c r="M159" s="465"/>
      <c r="N159" s="465"/>
      <c r="O159" s="473"/>
      <c r="P159" s="473"/>
      <c r="Q159" s="473"/>
      <c r="R159" s="473"/>
      <c r="S159" s="473"/>
      <c r="T159" s="473"/>
    </row>
    <row r="160" spans="1:20" ht="15">
      <c r="A160" s="465"/>
      <c r="B160" s="465"/>
      <c r="C160" s="473"/>
      <c r="D160" s="465"/>
      <c r="E160" s="465"/>
      <c r="F160" s="465"/>
      <c r="G160" s="465"/>
      <c r="H160" s="465"/>
      <c r="I160" s="465"/>
      <c r="J160" s="465"/>
      <c r="K160" s="465"/>
      <c r="L160" s="465"/>
      <c r="M160" s="465"/>
      <c r="N160" s="465"/>
      <c r="O160" s="473"/>
      <c r="P160" s="473"/>
      <c r="Q160" s="473"/>
      <c r="R160" s="473"/>
      <c r="S160" s="473"/>
      <c r="T160" s="473"/>
    </row>
    <row r="161" spans="1:20" ht="15">
      <c r="A161" s="465"/>
      <c r="B161" s="465"/>
      <c r="C161" s="473"/>
      <c r="D161" s="465"/>
      <c r="E161" s="465"/>
      <c r="F161" s="465"/>
      <c r="G161" s="465"/>
      <c r="H161" s="465"/>
      <c r="I161" s="465"/>
      <c r="J161" s="465"/>
      <c r="K161" s="465"/>
      <c r="L161" s="465"/>
      <c r="M161" s="465"/>
      <c r="N161" s="465"/>
      <c r="O161" s="473"/>
      <c r="P161" s="473"/>
      <c r="Q161" s="473"/>
      <c r="R161" s="473"/>
      <c r="S161" s="473"/>
      <c r="T161" s="473"/>
    </row>
    <row r="162" spans="1:20" ht="15">
      <c r="A162" s="465"/>
      <c r="B162" s="465"/>
      <c r="C162" s="473"/>
      <c r="D162" s="465"/>
      <c r="E162" s="465"/>
      <c r="F162" s="465"/>
      <c r="G162" s="465"/>
      <c r="H162" s="465"/>
      <c r="I162" s="465"/>
      <c r="J162" s="465"/>
      <c r="K162" s="465"/>
      <c r="L162" s="465"/>
      <c r="M162" s="465"/>
      <c r="N162" s="465"/>
      <c r="O162" s="473"/>
      <c r="P162" s="473"/>
      <c r="Q162" s="473"/>
      <c r="R162" s="473"/>
      <c r="S162" s="473"/>
      <c r="T162" s="473"/>
    </row>
    <row r="163" spans="1:20" ht="15">
      <c r="A163" s="465"/>
      <c r="B163" s="465"/>
      <c r="C163" s="473"/>
      <c r="D163" s="465"/>
      <c r="E163" s="465"/>
      <c r="F163" s="465"/>
      <c r="G163" s="465"/>
      <c r="H163" s="465"/>
      <c r="I163" s="465"/>
      <c r="J163" s="465"/>
      <c r="K163" s="465"/>
      <c r="L163" s="465"/>
      <c r="M163" s="465"/>
      <c r="N163" s="465"/>
      <c r="O163" s="473"/>
      <c r="P163" s="473"/>
      <c r="Q163" s="473"/>
      <c r="R163" s="473"/>
      <c r="S163" s="473"/>
      <c r="T163" s="473"/>
    </row>
    <row r="164" spans="1:20" ht="15">
      <c r="A164" s="465"/>
      <c r="B164" s="465"/>
      <c r="C164" s="473"/>
      <c r="D164" s="465"/>
      <c r="E164" s="465"/>
      <c r="F164" s="465"/>
      <c r="G164" s="465"/>
      <c r="H164" s="465"/>
      <c r="I164" s="465"/>
      <c r="J164" s="465"/>
      <c r="K164" s="465"/>
      <c r="L164" s="465"/>
      <c r="M164" s="465"/>
      <c r="N164" s="465"/>
      <c r="O164" s="473"/>
      <c r="P164" s="473"/>
      <c r="Q164" s="473"/>
      <c r="R164" s="473"/>
      <c r="S164" s="473"/>
      <c r="T164" s="473"/>
    </row>
    <row r="165" spans="1:20" ht="15">
      <c r="A165" s="465"/>
      <c r="B165" s="465"/>
      <c r="C165" s="473"/>
      <c r="D165" s="465"/>
      <c r="E165" s="465"/>
      <c r="F165" s="465"/>
      <c r="G165" s="465"/>
      <c r="H165" s="465"/>
      <c r="I165" s="465"/>
      <c r="J165" s="465"/>
      <c r="K165" s="465"/>
      <c r="L165" s="465"/>
      <c r="M165" s="465"/>
      <c r="N165" s="465"/>
      <c r="O165" s="473"/>
      <c r="P165" s="473"/>
      <c r="Q165" s="473"/>
      <c r="R165" s="473"/>
      <c r="S165" s="473"/>
      <c r="T165" s="473"/>
    </row>
    <row r="166" spans="1:20" ht="15">
      <c r="A166" s="465"/>
      <c r="B166" s="465"/>
      <c r="C166" s="473"/>
      <c r="D166" s="465"/>
      <c r="E166" s="465"/>
      <c r="F166" s="465"/>
      <c r="G166" s="465"/>
      <c r="H166" s="465"/>
      <c r="I166" s="465"/>
      <c r="J166" s="465"/>
      <c r="K166" s="465"/>
      <c r="L166" s="465"/>
      <c r="M166" s="465"/>
      <c r="N166" s="465"/>
      <c r="O166" s="473"/>
      <c r="P166" s="473"/>
      <c r="Q166" s="473"/>
      <c r="R166" s="473"/>
      <c r="S166" s="473"/>
      <c r="T166" s="473"/>
    </row>
    <row r="167" spans="1:20" ht="15">
      <c r="A167" s="465"/>
      <c r="B167" s="465"/>
      <c r="C167" s="473"/>
      <c r="D167" s="465"/>
      <c r="E167" s="465"/>
      <c r="F167" s="465"/>
      <c r="G167" s="465"/>
      <c r="H167" s="465"/>
      <c r="I167" s="465"/>
      <c r="J167" s="465"/>
      <c r="K167" s="465"/>
      <c r="L167" s="465"/>
      <c r="M167" s="465"/>
      <c r="N167" s="465"/>
      <c r="O167" s="473"/>
      <c r="P167" s="473"/>
      <c r="Q167" s="473"/>
      <c r="R167" s="473"/>
      <c r="S167" s="473"/>
      <c r="T167" s="473"/>
    </row>
    <row r="168" spans="1:20" ht="15">
      <c r="A168" s="465"/>
      <c r="B168" s="465"/>
      <c r="C168" s="473"/>
      <c r="D168" s="465"/>
      <c r="E168" s="465"/>
      <c r="F168" s="465"/>
      <c r="G168" s="465"/>
      <c r="H168" s="465"/>
      <c r="I168" s="465"/>
      <c r="J168" s="465"/>
      <c r="K168" s="465"/>
      <c r="L168" s="465"/>
      <c r="M168" s="465"/>
      <c r="N168" s="465"/>
      <c r="O168" s="473"/>
      <c r="P168" s="473"/>
      <c r="Q168" s="473"/>
      <c r="R168" s="473"/>
      <c r="S168" s="473"/>
      <c r="T168" s="473"/>
    </row>
    <row r="169" spans="1:20" ht="15">
      <c r="A169" s="465"/>
      <c r="B169" s="465"/>
      <c r="C169" s="473"/>
      <c r="D169" s="465"/>
      <c r="E169" s="465"/>
      <c r="F169" s="465"/>
      <c r="G169" s="465"/>
      <c r="H169" s="465"/>
      <c r="I169" s="465"/>
      <c r="J169" s="465"/>
      <c r="K169" s="465"/>
      <c r="L169" s="465"/>
      <c r="M169" s="465"/>
      <c r="N169" s="465"/>
      <c r="O169" s="473"/>
      <c r="P169" s="473"/>
      <c r="Q169" s="473"/>
      <c r="R169" s="473"/>
      <c r="S169" s="473"/>
      <c r="T169" s="473"/>
    </row>
    <row r="170" spans="1:20" ht="15">
      <c r="A170" s="465"/>
      <c r="B170" s="465"/>
      <c r="C170" s="473"/>
      <c r="D170" s="465"/>
      <c r="E170" s="465"/>
      <c r="F170" s="465"/>
      <c r="G170" s="465"/>
      <c r="H170" s="465"/>
      <c r="I170" s="465"/>
      <c r="J170" s="465"/>
      <c r="K170" s="465"/>
      <c r="L170" s="465"/>
      <c r="M170" s="465"/>
      <c r="N170" s="465"/>
      <c r="O170" s="473"/>
      <c r="P170" s="473"/>
      <c r="Q170" s="473"/>
      <c r="R170" s="473"/>
      <c r="S170" s="473"/>
      <c r="T170" s="473"/>
    </row>
    <row r="171" spans="1:20" ht="15">
      <c r="A171" s="465"/>
      <c r="B171" s="465"/>
      <c r="C171" s="473"/>
      <c r="D171" s="465"/>
      <c r="E171" s="465"/>
      <c r="F171" s="465"/>
      <c r="G171" s="465"/>
      <c r="H171" s="465"/>
      <c r="I171" s="465"/>
      <c r="J171" s="465"/>
      <c r="K171" s="465"/>
      <c r="L171" s="465"/>
      <c r="M171" s="465"/>
      <c r="N171" s="465"/>
      <c r="O171" s="473"/>
      <c r="P171" s="473"/>
      <c r="Q171" s="473"/>
      <c r="R171" s="473"/>
      <c r="S171" s="473"/>
      <c r="T171" s="473"/>
    </row>
    <row r="172" spans="1:20" ht="15">
      <c r="A172" s="465"/>
      <c r="B172" s="465"/>
      <c r="C172" s="473"/>
      <c r="D172" s="465"/>
      <c r="E172" s="465"/>
      <c r="F172" s="465"/>
      <c r="G172" s="465"/>
      <c r="H172" s="465"/>
      <c r="I172" s="465"/>
      <c r="J172" s="465"/>
      <c r="K172" s="465"/>
      <c r="L172" s="465"/>
      <c r="M172" s="465"/>
      <c r="N172" s="465"/>
      <c r="O172" s="473"/>
      <c r="P172" s="473"/>
      <c r="Q172" s="473"/>
      <c r="R172" s="473"/>
      <c r="S172" s="473"/>
      <c r="T172" s="473"/>
    </row>
    <row r="173" spans="1:20" ht="15">
      <c r="A173" s="465"/>
      <c r="B173" s="465"/>
      <c r="C173" s="473"/>
      <c r="D173" s="465"/>
      <c r="E173" s="465"/>
      <c r="F173" s="465"/>
      <c r="G173" s="465"/>
      <c r="H173" s="465"/>
      <c r="I173" s="465"/>
      <c r="J173" s="465"/>
      <c r="K173" s="465"/>
      <c r="L173" s="465"/>
      <c r="M173" s="465"/>
      <c r="N173" s="465"/>
      <c r="O173" s="473"/>
      <c r="P173" s="473"/>
      <c r="Q173" s="473"/>
      <c r="R173" s="473"/>
      <c r="S173" s="473"/>
      <c r="T173" s="473"/>
    </row>
    <row r="174" spans="1:20" ht="15">
      <c r="A174" s="465"/>
      <c r="B174" s="465"/>
      <c r="C174" s="473"/>
      <c r="D174" s="465"/>
      <c r="E174" s="465"/>
      <c r="F174" s="465"/>
      <c r="G174" s="465"/>
      <c r="H174" s="465"/>
      <c r="I174" s="465"/>
      <c r="J174" s="465"/>
      <c r="K174" s="465"/>
      <c r="L174" s="465"/>
      <c r="M174" s="465"/>
      <c r="N174" s="465"/>
      <c r="O174" s="473"/>
      <c r="P174" s="473"/>
      <c r="Q174" s="473"/>
      <c r="R174" s="473"/>
      <c r="S174" s="473"/>
      <c r="T174" s="473"/>
    </row>
    <row r="175" spans="1:20" ht="15">
      <c r="A175" s="465"/>
      <c r="B175" s="465"/>
      <c r="C175" s="473"/>
      <c r="D175" s="465"/>
      <c r="E175" s="465"/>
      <c r="F175" s="465"/>
      <c r="G175" s="465"/>
      <c r="H175" s="465"/>
      <c r="I175" s="465"/>
      <c r="J175" s="465"/>
      <c r="K175" s="465"/>
      <c r="L175" s="465"/>
      <c r="M175" s="465"/>
      <c r="N175" s="465"/>
      <c r="O175" s="473"/>
      <c r="P175" s="473"/>
      <c r="Q175" s="473"/>
      <c r="R175" s="473"/>
      <c r="S175" s="473"/>
      <c r="T175" s="473"/>
    </row>
    <row r="176" spans="1:20" ht="15">
      <c r="A176" s="465"/>
      <c r="B176" s="465"/>
      <c r="C176" s="473"/>
      <c r="D176" s="465"/>
      <c r="E176" s="465"/>
      <c r="F176" s="465"/>
      <c r="G176" s="465"/>
      <c r="H176" s="465"/>
      <c r="I176" s="465"/>
      <c r="J176" s="465"/>
      <c r="K176" s="465"/>
      <c r="L176" s="465"/>
      <c r="M176" s="465"/>
      <c r="N176" s="465"/>
      <c r="O176" s="473"/>
      <c r="P176" s="473"/>
      <c r="Q176" s="473"/>
      <c r="R176" s="473"/>
      <c r="S176" s="473"/>
      <c r="T176" s="473"/>
    </row>
    <row r="177" spans="1:20" ht="15">
      <c r="A177" s="465"/>
      <c r="B177" s="465"/>
      <c r="C177" s="473"/>
      <c r="D177" s="465"/>
      <c r="E177" s="465"/>
      <c r="F177" s="465"/>
      <c r="G177" s="465"/>
      <c r="H177" s="465"/>
      <c r="I177" s="465"/>
      <c r="J177" s="465"/>
      <c r="K177" s="465"/>
      <c r="L177" s="465"/>
      <c r="M177" s="465"/>
      <c r="N177" s="465"/>
      <c r="O177" s="473"/>
      <c r="P177" s="473"/>
      <c r="Q177" s="473"/>
      <c r="R177" s="473"/>
      <c r="S177" s="473"/>
      <c r="T177" s="473"/>
    </row>
    <row r="178" spans="1:20" ht="15">
      <c r="A178" s="465"/>
      <c r="B178" s="465"/>
      <c r="C178" s="473"/>
      <c r="D178" s="465"/>
      <c r="E178" s="465"/>
      <c r="F178" s="465"/>
      <c r="G178" s="465"/>
      <c r="H178" s="465"/>
      <c r="I178" s="465"/>
      <c r="J178" s="465"/>
      <c r="K178" s="465"/>
      <c r="L178" s="465"/>
      <c r="M178" s="465"/>
      <c r="N178" s="465"/>
      <c r="O178" s="473"/>
      <c r="P178" s="473"/>
      <c r="Q178" s="473"/>
      <c r="R178" s="473"/>
      <c r="S178" s="473"/>
      <c r="T178" s="473"/>
    </row>
    <row r="179" spans="1:20" ht="15">
      <c r="A179" s="465"/>
      <c r="B179" s="465"/>
      <c r="C179" s="473"/>
      <c r="D179" s="465"/>
      <c r="E179" s="465"/>
      <c r="F179" s="465"/>
      <c r="G179" s="465"/>
      <c r="H179" s="465"/>
      <c r="I179" s="465"/>
      <c r="J179" s="465"/>
      <c r="K179" s="465"/>
      <c r="L179" s="465"/>
      <c r="M179" s="465"/>
      <c r="N179" s="465"/>
      <c r="O179" s="473"/>
      <c r="P179" s="473"/>
      <c r="Q179" s="473"/>
      <c r="R179" s="473"/>
      <c r="S179" s="473"/>
      <c r="T179" s="473"/>
    </row>
    <row r="180" spans="1:20" ht="15">
      <c r="A180" s="465"/>
      <c r="B180" s="465"/>
      <c r="C180" s="473"/>
      <c r="D180" s="465"/>
      <c r="E180" s="465"/>
      <c r="F180" s="465"/>
      <c r="G180" s="465"/>
      <c r="H180" s="465"/>
      <c r="I180" s="465"/>
      <c r="J180" s="465"/>
      <c r="K180" s="465"/>
      <c r="L180" s="465"/>
      <c r="M180" s="465"/>
      <c r="N180" s="465"/>
      <c r="O180" s="473"/>
      <c r="P180" s="473"/>
      <c r="Q180" s="473"/>
      <c r="R180" s="473"/>
      <c r="S180" s="473"/>
      <c r="T180" s="473"/>
    </row>
    <row r="181" spans="1:20" ht="15">
      <c r="A181" s="465"/>
      <c r="B181" s="465"/>
      <c r="C181" s="473"/>
      <c r="D181" s="465"/>
      <c r="E181" s="465"/>
      <c r="F181" s="465"/>
      <c r="G181" s="465"/>
      <c r="H181" s="465"/>
      <c r="I181" s="465"/>
      <c r="J181" s="465"/>
      <c r="K181" s="465"/>
      <c r="L181" s="465"/>
      <c r="M181" s="465"/>
      <c r="N181" s="465"/>
      <c r="O181" s="473"/>
      <c r="P181" s="473"/>
      <c r="Q181" s="473"/>
      <c r="R181" s="473"/>
      <c r="S181" s="473"/>
      <c r="T181" s="473"/>
    </row>
    <row r="182" spans="1:20" ht="15">
      <c r="A182" s="465"/>
      <c r="B182" s="465"/>
      <c r="C182" s="473"/>
      <c r="D182" s="465"/>
      <c r="E182" s="465"/>
      <c r="F182" s="465"/>
      <c r="G182" s="465"/>
      <c r="H182" s="465"/>
      <c r="I182" s="465"/>
      <c r="J182" s="465"/>
      <c r="K182" s="465"/>
      <c r="L182" s="465"/>
      <c r="M182" s="465"/>
      <c r="N182" s="465"/>
      <c r="O182" s="473"/>
      <c r="P182" s="473"/>
      <c r="Q182" s="473"/>
      <c r="R182" s="473"/>
      <c r="S182" s="473"/>
      <c r="T182" s="473"/>
    </row>
    <row r="183" spans="1:20" ht="15">
      <c r="A183" s="465"/>
      <c r="B183" s="465"/>
      <c r="C183" s="473"/>
      <c r="D183" s="465"/>
      <c r="E183" s="465"/>
      <c r="F183" s="465"/>
      <c r="G183" s="465"/>
      <c r="H183" s="465"/>
      <c r="I183" s="465"/>
      <c r="J183" s="465"/>
      <c r="K183" s="465"/>
      <c r="L183" s="465"/>
      <c r="M183" s="465"/>
      <c r="N183" s="465"/>
      <c r="O183" s="473"/>
      <c r="P183" s="473"/>
      <c r="Q183" s="473"/>
      <c r="R183" s="473"/>
      <c r="S183" s="473"/>
      <c r="T183" s="473"/>
    </row>
    <row r="184" spans="1:20" ht="15">
      <c r="A184" s="465"/>
      <c r="B184" s="465"/>
      <c r="C184" s="473"/>
      <c r="D184" s="465"/>
      <c r="E184" s="465"/>
      <c r="F184" s="465"/>
      <c r="G184" s="465"/>
      <c r="H184" s="465"/>
      <c r="I184" s="465"/>
      <c r="J184" s="465"/>
      <c r="K184" s="465"/>
      <c r="L184" s="465"/>
      <c r="M184" s="465"/>
      <c r="N184" s="465"/>
      <c r="O184" s="473"/>
      <c r="P184" s="473"/>
      <c r="Q184" s="473"/>
      <c r="R184" s="473"/>
      <c r="S184" s="473"/>
      <c r="T184" s="473"/>
    </row>
    <row r="185" spans="1:20" ht="15">
      <c r="A185" s="465"/>
      <c r="B185" s="465"/>
      <c r="C185" s="473"/>
      <c r="D185" s="465"/>
      <c r="E185" s="465"/>
      <c r="F185" s="465"/>
      <c r="G185" s="465"/>
      <c r="H185" s="465"/>
      <c r="I185" s="465"/>
      <c r="J185" s="465"/>
      <c r="K185" s="465"/>
      <c r="L185" s="465"/>
      <c r="M185" s="465"/>
      <c r="N185" s="465"/>
      <c r="O185" s="473"/>
      <c r="P185" s="473"/>
      <c r="Q185" s="473"/>
      <c r="R185" s="473"/>
      <c r="S185" s="473"/>
      <c r="T185" s="473"/>
    </row>
    <row r="186" spans="1:20" ht="15">
      <c r="A186" s="465"/>
      <c r="B186" s="465"/>
      <c r="C186" s="473"/>
      <c r="D186" s="465"/>
      <c r="E186" s="465"/>
      <c r="F186" s="465"/>
      <c r="G186" s="465"/>
      <c r="H186" s="465"/>
      <c r="I186" s="465"/>
      <c r="J186" s="465"/>
      <c r="K186" s="465"/>
      <c r="L186" s="465"/>
      <c r="M186" s="465"/>
      <c r="N186" s="465"/>
      <c r="O186" s="473"/>
      <c r="P186" s="473"/>
      <c r="Q186" s="473"/>
      <c r="R186" s="473"/>
      <c r="S186" s="473"/>
      <c r="T186" s="473"/>
    </row>
    <row r="187" spans="1:20" ht="15">
      <c r="A187" s="465"/>
      <c r="B187" s="465"/>
      <c r="C187" s="473"/>
      <c r="D187" s="465"/>
      <c r="E187" s="465"/>
      <c r="F187" s="465"/>
      <c r="G187" s="465"/>
      <c r="H187" s="465"/>
      <c r="I187" s="465"/>
      <c r="J187" s="465"/>
      <c r="K187" s="465"/>
      <c r="L187" s="465"/>
      <c r="M187" s="465"/>
      <c r="N187" s="465"/>
      <c r="O187" s="473"/>
      <c r="P187" s="473"/>
      <c r="Q187" s="473"/>
      <c r="R187" s="473"/>
      <c r="S187" s="473"/>
      <c r="T187" s="473"/>
    </row>
    <row r="188" spans="1:20" ht="15">
      <c r="A188" s="465"/>
      <c r="B188" s="465"/>
      <c r="C188" s="473"/>
      <c r="D188" s="465"/>
      <c r="E188" s="465"/>
      <c r="F188" s="465"/>
      <c r="G188" s="465"/>
      <c r="H188" s="465"/>
      <c r="I188" s="465"/>
      <c r="J188" s="465"/>
      <c r="K188" s="465"/>
      <c r="L188" s="465"/>
      <c r="M188" s="465"/>
      <c r="N188" s="465"/>
      <c r="O188" s="473"/>
      <c r="P188" s="473"/>
      <c r="Q188" s="473"/>
      <c r="R188" s="473"/>
      <c r="S188" s="473"/>
      <c r="T188" s="473"/>
    </row>
    <row r="189" spans="1:20" ht="15">
      <c r="A189" s="465"/>
      <c r="B189" s="465"/>
      <c r="C189" s="473"/>
      <c r="D189" s="465"/>
      <c r="E189" s="465"/>
      <c r="F189" s="465"/>
      <c r="G189" s="465"/>
      <c r="H189" s="465"/>
      <c r="I189" s="465"/>
      <c r="J189" s="465"/>
      <c r="K189" s="465"/>
      <c r="L189" s="465"/>
      <c r="M189" s="465"/>
      <c r="N189" s="465"/>
      <c r="O189" s="473"/>
      <c r="P189" s="473"/>
      <c r="Q189" s="473"/>
      <c r="R189" s="473"/>
      <c r="S189" s="473"/>
      <c r="T189" s="473"/>
    </row>
    <row r="190" spans="1:20" ht="15">
      <c r="A190" s="465"/>
      <c r="B190" s="465"/>
      <c r="C190" s="473"/>
      <c r="D190" s="465"/>
      <c r="E190" s="465"/>
      <c r="F190" s="465"/>
      <c r="G190" s="465"/>
      <c r="H190" s="465"/>
      <c r="I190" s="465"/>
      <c r="J190" s="465"/>
      <c r="K190" s="465"/>
      <c r="L190" s="465"/>
      <c r="M190" s="465"/>
      <c r="N190" s="465"/>
      <c r="O190" s="473"/>
      <c r="P190" s="473"/>
      <c r="Q190" s="473"/>
      <c r="R190" s="473"/>
      <c r="S190" s="473"/>
      <c r="T190" s="473"/>
    </row>
    <row r="191" spans="1:20" ht="15">
      <c r="A191" s="465"/>
      <c r="B191" s="465"/>
      <c r="C191" s="473"/>
      <c r="D191" s="465"/>
      <c r="E191" s="465"/>
      <c r="F191" s="465"/>
      <c r="G191" s="465"/>
      <c r="H191" s="465"/>
      <c r="I191" s="465"/>
      <c r="J191" s="465"/>
      <c r="K191" s="465"/>
      <c r="L191" s="465"/>
      <c r="M191" s="465"/>
      <c r="N191" s="465"/>
      <c r="O191" s="473"/>
      <c r="P191" s="473"/>
      <c r="Q191" s="473"/>
      <c r="R191" s="473"/>
      <c r="S191" s="473"/>
      <c r="T191" s="473"/>
    </row>
    <row r="192" spans="1:20" ht="15">
      <c r="A192" s="465"/>
      <c r="B192" s="465"/>
      <c r="C192" s="473"/>
      <c r="D192" s="465"/>
      <c r="E192" s="465"/>
      <c r="F192" s="465"/>
      <c r="G192" s="465"/>
      <c r="H192" s="465"/>
      <c r="I192" s="465"/>
      <c r="J192" s="465"/>
      <c r="K192" s="465"/>
      <c r="L192" s="465"/>
      <c r="M192" s="465"/>
      <c r="N192" s="465"/>
      <c r="O192" s="473"/>
      <c r="P192" s="473"/>
      <c r="Q192" s="473"/>
      <c r="R192" s="473"/>
      <c r="S192" s="473"/>
      <c r="T192" s="473"/>
    </row>
    <row r="193" spans="1:20" ht="15">
      <c r="A193" s="465"/>
      <c r="B193" s="465"/>
      <c r="C193" s="473"/>
      <c r="D193" s="465"/>
      <c r="E193" s="465"/>
      <c r="F193" s="465"/>
      <c r="G193" s="465"/>
      <c r="H193" s="465"/>
      <c r="I193" s="465"/>
      <c r="J193" s="465"/>
      <c r="K193" s="465"/>
      <c r="L193" s="465"/>
      <c r="M193" s="465"/>
      <c r="N193" s="465"/>
      <c r="O193" s="473"/>
      <c r="P193" s="473"/>
      <c r="Q193" s="473"/>
      <c r="R193" s="473"/>
      <c r="S193" s="473"/>
      <c r="T193" s="473"/>
    </row>
    <row r="194" spans="1:20" ht="15">
      <c r="A194" s="465"/>
      <c r="B194" s="465"/>
      <c r="C194" s="473"/>
      <c r="D194" s="465"/>
      <c r="E194" s="465"/>
      <c r="F194" s="465"/>
      <c r="G194" s="465"/>
      <c r="H194" s="465"/>
      <c r="I194" s="465"/>
      <c r="J194" s="465"/>
      <c r="K194" s="465"/>
      <c r="L194" s="465"/>
      <c r="M194" s="465"/>
      <c r="N194" s="465"/>
      <c r="O194" s="473"/>
      <c r="P194" s="473"/>
      <c r="Q194" s="473"/>
      <c r="R194" s="473"/>
      <c r="S194" s="473"/>
      <c r="T194" s="473"/>
    </row>
    <row r="195" spans="1:20" ht="15">
      <c r="A195" s="465"/>
      <c r="B195" s="465"/>
      <c r="C195" s="473"/>
      <c r="D195" s="465"/>
      <c r="E195" s="465"/>
      <c r="F195" s="465"/>
      <c r="G195" s="465"/>
      <c r="H195" s="465"/>
      <c r="I195" s="465"/>
      <c r="J195" s="465"/>
      <c r="K195" s="465"/>
      <c r="L195" s="465"/>
      <c r="M195" s="465"/>
      <c r="N195" s="465"/>
      <c r="O195" s="473"/>
      <c r="P195" s="473"/>
      <c r="Q195" s="473"/>
      <c r="R195" s="473"/>
      <c r="S195" s="473"/>
      <c r="T195" s="473"/>
    </row>
    <row r="196" spans="1:20" ht="15">
      <c r="A196" s="465"/>
      <c r="B196" s="465"/>
      <c r="C196" s="473"/>
      <c r="D196" s="465"/>
      <c r="E196" s="465"/>
      <c r="F196" s="465"/>
      <c r="G196" s="465"/>
      <c r="H196" s="465"/>
      <c r="I196" s="465"/>
      <c r="J196" s="465"/>
      <c r="K196" s="465"/>
      <c r="L196" s="465"/>
      <c r="M196" s="465"/>
      <c r="N196" s="465"/>
      <c r="O196" s="473"/>
      <c r="P196" s="473"/>
      <c r="Q196" s="473"/>
      <c r="R196" s="473"/>
      <c r="S196" s="473"/>
      <c r="T196" s="473"/>
    </row>
    <row r="197" spans="1:20" ht="15">
      <c r="A197" s="465"/>
      <c r="B197" s="465"/>
      <c r="C197" s="473"/>
      <c r="D197" s="465"/>
      <c r="E197" s="465"/>
      <c r="F197" s="465"/>
      <c r="G197" s="465"/>
      <c r="H197" s="465"/>
      <c r="I197" s="465"/>
      <c r="J197" s="465"/>
      <c r="K197" s="465"/>
      <c r="L197" s="465"/>
      <c r="M197" s="465"/>
      <c r="N197" s="465"/>
      <c r="O197" s="473"/>
      <c r="P197" s="473"/>
      <c r="Q197" s="473"/>
      <c r="R197" s="473"/>
      <c r="S197" s="473"/>
      <c r="T197" s="473"/>
    </row>
    <row r="198" spans="1:20" ht="15">
      <c r="A198" s="465"/>
      <c r="B198" s="465"/>
      <c r="C198" s="473"/>
      <c r="D198" s="465"/>
      <c r="E198" s="465"/>
      <c r="F198" s="465"/>
      <c r="G198" s="465"/>
      <c r="H198" s="465"/>
      <c r="I198" s="465"/>
      <c r="J198" s="465"/>
      <c r="K198" s="465"/>
      <c r="L198" s="465"/>
      <c r="M198" s="465"/>
      <c r="N198" s="465"/>
      <c r="O198" s="473"/>
      <c r="P198" s="473"/>
      <c r="Q198" s="473"/>
      <c r="R198" s="473"/>
      <c r="S198" s="473"/>
      <c r="T198" s="473"/>
    </row>
    <row r="199" spans="1:20" ht="15">
      <c r="A199" s="465"/>
      <c r="B199" s="465"/>
      <c r="C199" s="473"/>
      <c r="D199" s="465"/>
      <c r="E199" s="465"/>
      <c r="F199" s="465"/>
      <c r="G199" s="465"/>
      <c r="H199" s="465"/>
      <c r="I199" s="465"/>
      <c r="J199" s="465"/>
      <c r="K199" s="465"/>
      <c r="L199" s="465"/>
      <c r="M199" s="465"/>
      <c r="N199" s="465"/>
      <c r="O199" s="473"/>
      <c r="P199" s="473"/>
      <c r="Q199" s="473"/>
      <c r="R199" s="473"/>
      <c r="S199" s="473"/>
      <c r="T199" s="473"/>
    </row>
    <row r="200" spans="1:20" ht="15">
      <c r="A200" s="465"/>
      <c r="B200" s="465"/>
      <c r="C200" s="473"/>
      <c r="D200" s="465"/>
      <c r="E200" s="465"/>
      <c r="F200" s="465"/>
      <c r="G200" s="465"/>
      <c r="H200" s="465"/>
      <c r="I200" s="465"/>
      <c r="J200" s="465"/>
      <c r="K200" s="465"/>
      <c r="L200" s="465"/>
      <c r="M200" s="465"/>
      <c r="N200" s="465"/>
      <c r="O200" s="473"/>
      <c r="P200" s="473"/>
      <c r="Q200" s="473"/>
      <c r="R200" s="473"/>
      <c r="S200" s="473"/>
      <c r="T200" s="473"/>
    </row>
    <row r="201" spans="1:20" ht="15">
      <c r="A201" s="465"/>
      <c r="B201" s="465"/>
      <c r="C201" s="473"/>
      <c r="D201" s="465"/>
      <c r="E201" s="465"/>
      <c r="F201" s="465"/>
      <c r="G201" s="465"/>
      <c r="H201" s="465"/>
      <c r="I201" s="465"/>
      <c r="J201" s="465"/>
      <c r="K201" s="465"/>
      <c r="L201" s="465"/>
      <c r="M201" s="465"/>
      <c r="N201" s="465"/>
      <c r="O201" s="473"/>
      <c r="P201" s="473"/>
      <c r="Q201" s="473"/>
      <c r="R201" s="473"/>
      <c r="S201" s="473"/>
      <c r="T201" s="473"/>
    </row>
    <row r="202" spans="1:20" ht="15">
      <c r="A202" s="465"/>
      <c r="B202" s="465"/>
      <c r="C202" s="473"/>
      <c r="D202" s="465"/>
      <c r="E202" s="465"/>
      <c r="F202" s="465"/>
      <c r="G202" s="465"/>
      <c r="H202" s="465"/>
      <c r="I202" s="465"/>
      <c r="J202" s="465"/>
      <c r="K202" s="465"/>
      <c r="L202" s="465"/>
      <c r="M202" s="465"/>
      <c r="N202" s="465"/>
      <c r="O202" s="473"/>
      <c r="P202" s="473"/>
      <c r="Q202" s="473"/>
      <c r="R202" s="473"/>
      <c r="S202" s="473"/>
      <c r="T202" s="473"/>
    </row>
    <row r="203" spans="1:20" ht="15">
      <c r="A203" s="465"/>
      <c r="B203" s="465"/>
      <c r="C203" s="473"/>
      <c r="D203" s="465"/>
      <c r="E203" s="465"/>
      <c r="F203" s="465"/>
      <c r="G203" s="465"/>
      <c r="H203" s="465"/>
      <c r="I203" s="465"/>
      <c r="J203" s="465"/>
      <c r="K203" s="465"/>
      <c r="L203" s="465"/>
      <c r="M203" s="465"/>
      <c r="N203" s="465"/>
      <c r="O203" s="473"/>
      <c r="P203" s="473"/>
      <c r="Q203" s="473"/>
      <c r="R203" s="473"/>
      <c r="S203" s="473"/>
      <c r="T203" s="473"/>
    </row>
    <row r="204" spans="1:20" ht="15">
      <c r="A204" s="465"/>
      <c r="B204" s="465"/>
      <c r="C204" s="473"/>
      <c r="D204" s="465"/>
      <c r="E204" s="465"/>
      <c r="F204" s="465"/>
      <c r="G204" s="465"/>
      <c r="H204" s="465"/>
      <c r="I204" s="465"/>
      <c r="J204" s="465"/>
      <c r="K204" s="465"/>
      <c r="L204" s="465"/>
      <c r="M204" s="465"/>
      <c r="N204" s="465"/>
      <c r="O204" s="473"/>
      <c r="P204" s="473"/>
      <c r="Q204" s="473"/>
      <c r="R204" s="473"/>
      <c r="S204" s="473"/>
      <c r="T204" s="473"/>
    </row>
    <row r="205" spans="1:20" ht="15">
      <c r="A205" s="465"/>
      <c r="B205" s="465"/>
      <c r="C205" s="473"/>
      <c r="D205" s="465"/>
      <c r="E205" s="465"/>
      <c r="F205" s="465"/>
      <c r="G205" s="465"/>
      <c r="H205" s="465"/>
      <c r="I205" s="465"/>
      <c r="J205" s="465"/>
      <c r="K205" s="465"/>
      <c r="L205" s="465"/>
      <c r="M205" s="465"/>
      <c r="N205" s="465"/>
      <c r="O205" s="473"/>
      <c r="P205" s="473"/>
      <c r="Q205" s="473"/>
      <c r="R205" s="473"/>
      <c r="S205" s="473"/>
      <c r="T205" s="473"/>
    </row>
    <row r="206" spans="1:20" ht="15">
      <c r="A206" s="465"/>
      <c r="B206" s="465"/>
      <c r="C206" s="473"/>
      <c r="D206" s="465"/>
      <c r="E206" s="465"/>
      <c r="F206" s="465"/>
      <c r="G206" s="465"/>
      <c r="H206" s="465"/>
      <c r="I206" s="465"/>
      <c r="J206" s="465"/>
      <c r="K206" s="465"/>
      <c r="L206" s="465"/>
      <c r="M206" s="465"/>
      <c r="N206" s="465"/>
      <c r="O206" s="473"/>
      <c r="P206" s="473"/>
      <c r="Q206" s="473"/>
      <c r="R206" s="473"/>
      <c r="S206" s="473"/>
      <c r="T206" s="473"/>
    </row>
    <row r="207" spans="1:20" ht="15">
      <c r="A207" s="465"/>
      <c r="B207" s="465"/>
      <c r="C207" s="473"/>
      <c r="D207" s="465"/>
      <c r="E207" s="465"/>
      <c r="F207" s="465"/>
      <c r="G207" s="465"/>
      <c r="H207" s="465"/>
      <c r="I207" s="465"/>
      <c r="J207" s="465"/>
      <c r="K207" s="465"/>
      <c r="L207" s="465"/>
      <c r="M207" s="465"/>
      <c r="N207" s="465"/>
      <c r="O207" s="473"/>
      <c r="P207" s="473"/>
      <c r="Q207" s="473"/>
      <c r="R207" s="473"/>
      <c r="S207" s="473"/>
      <c r="T207" s="473"/>
    </row>
    <row r="208" spans="1:20" ht="15">
      <c r="A208" s="465"/>
      <c r="B208" s="465"/>
      <c r="C208" s="473"/>
      <c r="D208" s="465"/>
      <c r="E208" s="465"/>
      <c r="F208" s="465"/>
      <c r="G208" s="465"/>
      <c r="H208" s="465"/>
      <c r="I208" s="465"/>
      <c r="J208" s="465"/>
      <c r="K208" s="465"/>
      <c r="L208" s="465"/>
      <c r="M208" s="465"/>
      <c r="N208" s="465"/>
      <c r="O208" s="473"/>
      <c r="P208" s="473"/>
      <c r="Q208" s="473"/>
      <c r="R208" s="473"/>
      <c r="S208" s="473"/>
      <c r="T208" s="473"/>
    </row>
    <row r="209" spans="1:20" ht="15">
      <c r="A209" s="465"/>
      <c r="B209" s="465"/>
      <c r="C209" s="473"/>
      <c r="D209" s="465"/>
      <c r="E209" s="465"/>
      <c r="F209" s="465"/>
      <c r="G209" s="465"/>
      <c r="H209" s="465"/>
      <c r="I209" s="465"/>
      <c r="J209" s="465"/>
      <c r="K209" s="465"/>
      <c r="L209" s="465"/>
      <c r="M209" s="465"/>
      <c r="N209" s="465"/>
      <c r="O209" s="473"/>
      <c r="P209" s="473"/>
      <c r="Q209" s="473"/>
      <c r="R209" s="473"/>
      <c r="S209" s="473"/>
      <c r="T209" s="473"/>
    </row>
    <row r="210" spans="1:20" ht="15">
      <c r="A210" s="465"/>
      <c r="B210" s="465"/>
      <c r="C210" s="473"/>
      <c r="D210" s="465"/>
      <c r="E210" s="465"/>
      <c r="F210" s="465"/>
      <c r="G210" s="465"/>
      <c r="H210" s="465"/>
      <c r="I210" s="465"/>
      <c r="J210" s="465"/>
      <c r="K210" s="465"/>
      <c r="L210" s="465"/>
      <c r="M210" s="465"/>
      <c r="N210" s="465"/>
      <c r="O210" s="473"/>
      <c r="P210" s="473"/>
      <c r="Q210" s="473"/>
      <c r="R210" s="473"/>
      <c r="S210" s="473"/>
      <c r="T210" s="473"/>
    </row>
    <row r="211" spans="1:20" ht="15">
      <c r="A211" s="465"/>
      <c r="B211" s="465"/>
      <c r="C211" s="473"/>
      <c r="D211" s="465"/>
      <c r="E211" s="465"/>
      <c r="F211" s="465"/>
      <c r="G211" s="465"/>
      <c r="H211" s="465"/>
      <c r="I211" s="465"/>
      <c r="J211" s="465"/>
      <c r="K211" s="465"/>
      <c r="L211" s="465"/>
      <c r="M211" s="465"/>
      <c r="N211" s="465"/>
      <c r="O211" s="473"/>
      <c r="P211" s="473"/>
      <c r="Q211" s="473"/>
      <c r="R211" s="473"/>
      <c r="S211" s="473"/>
      <c r="T211" s="473"/>
    </row>
    <row r="212" spans="1:20" ht="15">
      <c r="A212" s="465"/>
      <c r="B212" s="465"/>
      <c r="C212" s="473"/>
      <c r="D212" s="465"/>
      <c r="E212" s="465"/>
      <c r="F212" s="465"/>
      <c r="G212" s="465"/>
      <c r="H212" s="465"/>
      <c r="I212" s="465"/>
      <c r="J212" s="465"/>
      <c r="K212" s="465"/>
      <c r="L212" s="465"/>
      <c r="M212" s="465"/>
      <c r="N212" s="465"/>
      <c r="O212" s="473"/>
      <c r="P212" s="473"/>
      <c r="Q212" s="473"/>
      <c r="R212" s="473"/>
      <c r="S212" s="473"/>
      <c r="T212" s="473"/>
    </row>
    <row r="213" spans="1:20" ht="15">
      <c r="A213" s="465"/>
      <c r="B213" s="465"/>
      <c r="C213" s="473"/>
      <c r="D213" s="465"/>
      <c r="E213" s="465"/>
      <c r="F213" s="465"/>
      <c r="G213" s="465"/>
      <c r="H213" s="465"/>
      <c r="I213" s="465"/>
      <c r="J213" s="465"/>
      <c r="K213" s="465"/>
      <c r="L213" s="465"/>
      <c r="M213" s="465"/>
      <c r="N213" s="465"/>
      <c r="O213" s="473"/>
      <c r="P213" s="473"/>
      <c r="Q213" s="473"/>
      <c r="R213" s="473"/>
      <c r="S213" s="473"/>
      <c r="T213" s="473"/>
    </row>
    <row r="214" spans="1:9" ht="15">
      <c r="A214" s="465"/>
      <c r="B214" s="465"/>
      <c r="C214" s="473"/>
      <c r="D214" s="465"/>
      <c r="E214" s="465"/>
      <c r="F214" s="465"/>
      <c r="G214" s="465"/>
      <c r="H214" s="465"/>
      <c r="I214" s="465"/>
    </row>
  </sheetData>
  <sheetProtection password="C651" sheet="1"/>
  <mergeCells count="116">
    <mergeCell ref="D11:N11"/>
    <mergeCell ref="O12:T12"/>
    <mergeCell ref="C13:N13"/>
    <mergeCell ref="O13:O15"/>
    <mergeCell ref="Q13:Q15"/>
    <mergeCell ref="C14:N14"/>
    <mergeCell ref="C15:N15"/>
    <mergeCell ref="T15:T16"/>
    <mergeCell ref="C16:N16"/>
    <mergeCell ref="R16:S16"/>
    <mergeCell ref="I3:P3"/>
    <mergeCell ref="D6:N6"/>
    <mergeCell ref="D7:N7"/>
    <mergeCell ref="D8:N8"/>
    <mergeCell ref="D9:N9"/>
    <mergeCell ref="D10:N10"/>
    <mergeCell ref="A17:N17"/>
    <mergeCell ref="O17:T17"/>
    <mergeCell ref="D18:N18"/>
    <mergeCell ref="D19:N19"/>
    <mergeCell ref="A20:N20"/>
    <mergeCell ref="O20:T20"/>
    <mergeCell ref="E21:N21"/>
    <mergeCell ref="E22:N22"/>
    <mergeCell ref="E23:N23"/>
    <mergeCell ref="O24:T24"/>
    <mergeCell ref="F25:N25"/>
    <mergeCell ref="O25:T25"/>
    <mergeCell ref="F26:N26"/>
    <mergeCell ref="O26:T26"/>
    <mergeCell ref="F27:N27"/>
    <mergeCell ref="F28:N28"/>
    <mergeCell ref="O28:T28"/>
    <mergeCell ref="A29:N29"/>
    <mergeCell ref="O29:T29"/>
    <mergeCell ref="H30:N30"/>
    <mergeCell ref="O30:T30"/>
    <mergeCell ref="H31:N31"/>
    <mergeCell ref="O31:O34"/>
    <mergeCell ref="Q31:Q34"/>
    <mergeCell ref="H32:N32"/>
    <mergeCell ref="H33:N33"/>
    <mergeCell ref="H34:N34"/>
    <mergeCell ref="A35:N35"/>
    <mergeCell ref="O35:T35"/>
    <mergeCell ref="A36:N36"/>
    <mergeCell ref="O36:T36"/>
    <mergeCell ref="I37:N37"/>
    <mergeCell ref="O37:T37"/>
    <mergeCell ref="I38:N38"/>
    <mergeCell ref="O38:O42"/>
    <mergeCell ref="Q38:Q42"/>
    <mergeCell ref="A39:G39"/>
    <mergeCell ref="I39:N39"/>
    <mergeCell ref="I40:N40"/>
    <mergeCell ref="I41:N41"/>
    <mergeCell ref="I42:N42"/>
    <mergeCell ref="I44:N44"/>
    <mergeCell ref="O44:T44"/>
    <mergeCell ref="A45:N45"/>
    <mergeCell ref="O45:T45"/>
    <mergeCell ref="A46:H46"/>
    <mergeCell ref="J46:N46"/>
    <mergeCell ref="P46:T46"/>
    <mergeCell ref="J47:N47"/>
    <mergeCell ref="O47:O48"/>
    <mergeCell ref="P47:T47"/>
    <mergeCell ref="J48:N48"/>
    <mergeCell ref="P48:T48"/>
    <mergeCell ref="A49:N49"/>
    <mergeCell ref="O49:T49"/>
    <mergeCell ref="A53:I53"/>
    <mergeCell ref="K53:N53"/>
    <mergeCell ref="P53:T53"/>
    <mergeCell ref="A54:I54"/>
    <mergeCell ref="K54:N54"/>
    <mergeCell ref="P54:T54"/>
    <mergeCell ref="A55:I55"/>
    <mergeCell ref="K55:N55"/>
    <mergeCell ref="P55:T55"/>
    <mergeCell ref="A56:I56"/>
    <mergeCell ref="K56:N56"/>
    <mergeCell ref="P56:T56"/>
    <mergeCell ref="A50:I50"/>
    <mergeCell ref="K50:N50"/>
    <mergeCell ref="P50:T50"/>
    <mergeCell ref="A51:I51"/>
    <mergeCell ref="K51:N51"/>
    <mergeCell ref="O51:O62"/>
    <mergeCell ref="P51:T51"/>
    <mergeCell ref="A52:I52"/>
    <mergeCell ref="K52:N52"/>
    <mergeCell ref="P52:T52"/>
    <mergeCell ref="A57:I57"/>
    <mergeCell ref="K57:N57"/>
    <mergeCell ref="P57:T57"/>
    <mergeCell ref="A58:I58"/>
    <mergeCell ref="K58:N58"/>
    <mergeCell ref="P58:T58"/>
    <mergeCell ref="P62:T62"/>
    <mergeCell ref="A59:I59"/>
    <mergeCell ref="K59:N59"/>
    <mergeCell ref="P59:T59"/>
    <mergeCell ref="A60:I60"/>
    <mergeCell ref="K60:N60"/>
    <mergeCell ref="P60:T60"/>
    <mergeCell ref="I43:N43"/>
    <mergeCell ref="O63:T63"/>
    <mergeCell ref="A67:I67"/>
    <mergeCell ref="D70:N70"/>
    <mergeCell ref="D71:N71"/>
    <mergeCell ref="A61:I61"/>
    <mergeCell ref="K61:N61"/>
    <mergeCell ref="P61:T61"/>
    <mergeCell ref="A62:I62"/>
    <mergeCell ref="K62:N62"/>
  </mergeCells>
  <hyperlinks>
    <hyperlink ref="Q2" r:id="rId1" display="www.darkont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43"/>
  <sheetViews>
    <sheetView showGridLines="0" zoomScalePageLayoutView="0" workbookViewId="0" topLeftCell="A1">
      <selection activeCell="P20" sqref="P20"/>
    </sheetView>
  </sheetViews>
  <sheetFormatPr defaultColWidth="9.140625" defaultRowHeight="15"/>
  <cols>
    <col min="1" max="1" width="7.28125" style="0" customWidth="1"/>
    <col min="2" max="2" width="4.7109375" style="463" customWidth="1"/>
    <col min="3" max="3" width="6.57421875" style="463" customWidth="1"/>
    <col min="4" max="4" width="6.8515625" style="463" customWidth="1"/>
    <col min="5" max="5" width="3.421875" style="0" customWidth="1"/>
    <col min="6" max="6" width="1.57421875" style="0" customWidth="1"/>
    <col min="7" max="7" width="2.28125" style="0" customWidth="1"/>
    <col min="8" max="8" width="3.421875" style="0" customWidth="1"/>
    <col min="9" max="9" width="3.140625" style="0" customWidth="1"/>
    <col min="10" max="10" width="5.00390625" style="0" customWidth="1"/>
    <col min="11" max="11" width="2.140625" style="0" customWidth="1"/>
    <col min="12" max="12" width="12.140625" style="0" customWidth="1"/>
    <col min="13" max="13" width="13.421875" style="0" customWidth="1"/>
    <col min="14" max="14" width="19.28125" style="0" customWidth="1"/>
    <col min="15" max="15" width="7.140625" style="463" customWidth="1"/>
    <col min="16" max="16" width="7.421875" style="463" customWidth="1"/>
    <col min="17" max="17" width="6.7109375" style="463" customWidth="1"/>
    <col min="18" max="20" width="7.140625" style="535" customWidth="1"/>
    <col min="21" max="21" width="7.140625" style="533" customWidth="1"/>
  </cols>
  <sheetData>
    <row r="1" spans="1:21" s="463" customFormat="1" ht="17.25" customHeight="1">
      <c r="A1" s="475"/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6" t="s">
        <v>152</v>
      </c>
      <c r="T1" s="477"/>
      <c r="U1" s="478"/>
    </row>
    <row r="2" spans="1:21" s="463" customFormat="1" ht="15.75" customHeight="1">
      <c r="A2" s="475"/>
      <c r="B2" s="475"/>
      <c r="C2" s="475"/>
      <c r="D2" s="475"/>
      <c r="E2" s="475"/>
      <c r="F2" s="475"/>
      <c r="G2" s="475"/>
      <c r="H2" s="475"/>
      <c r="I2" s="475"/>
      <c r="J2" s="475"/>
      <c r="K2" s="479" t="s">
        <v>622</v>
      </c>
      <c r="L2" s="475"/>
      <c r="M2" s="475"/>
      <c r="N2" s="475"/>
      <c r="O2" s="475"/>
      <c r="P2" s="475"/>
      <c r="Q2" s="475"/>
      <c r="R2" s="475"/>
      <c r="S2" s="818" t="s">
        <v>165</v>
      </c>
      <c r="T2" s="480"/>
      <c r="U2" s="481"/>
    </row>
    <row r="3" spans="1:21" s="463" customFormat="1" ht="16.5" customHeight="1">
      <c r="A3" s="480"/>
      <c r="B3" s="480"/>
      <c r="C3" s="480"/>
      <c r="D3" s="480"/>
      <c r="E3" s="482"/>
      <c r="F3" s="1237" t="s">
        <v>164</v>
      </c>
      <c r="G3" s="1237"/>
      <c r="H3" s="1237"/>
      <c r="I3" s="1237"/>
      <c r="J3" s="1237"/>
      <c r="K3" s="1237"/>
      <c r="L3" s="1237"/>
      <c r="M3" s="1237"/>
      <c r="N3" s="1237"/>
      <c r="O3" s="1237"/>
      <c r="P3" s="1237"/>
      <c r="Q3" s="475"/>
      <c r="R3" s="475"/>
      <c r="S3" s="963" t="s">
        <v>624</v>
      </c>
      <c r="T3" s="480"/>
      <c r="U3" s="481"/>
    </row>
    <row r="4" spans="1:21" s="463" customFormat="1" ht="13.5" customHeight="1">
      <c r="A4" s="483"/>
      <c r="B4" s="484"/>
      <c r="C4" s="259"/>
      <c r="D4" s="259"/>
      <c r="E4" s="259"/>
      <c r="F4" s="259"/>
      <c r="G4" s="259"/>
      <c r="H4" s="259"/>
      <c r="I4" s="1510" t="s">
        <v>329</v>
      </c>
      <c r="J4" s="1511"/>
      <c r="K4" s="1511"/>
      <c r="L4" s="1511"/>
      <c r="M4" s="1511"/>
      <c r="N4" s="1512"/>
      <c r="O4" s="485"/>
      <c r="P4" s="486"/>
      <c r="Q4" s="486"/>
      <c r="R4" s="487"/>
      <c r="S4" s="487"/>
      <c r="T4" s="487"/>
      <c r="U4" s="488"/>
    </row>
    <row r="5" spans="1:21" s="463" customFormat="1" ht="10.5" customHeight="1" thickBot="1">
      <c r="A5" s="489"/>
      <c r="B5" s="458"/>
      <c r="C5" s="458"/>
      <c r="D5" s="458" t="s">
        <v>330</v>
      </c>
      <c r="E5" s="458"/>
      <c r="F5" s="459"/>
      <c r="G5" s="181"/>
      <c r="H5" s="181"/>
      <c r="I5" s="1510" t="s">
        <v>331</v>
      </c>
      <c r="J5" s="1512"/>
      <c r="K5" s="1446" t="s">
        <v>332</v>
      </c>
      <c r="L5" s="1513"/>
      <c r="M5" s="1446" t="s">
        <v>333</v>
      </c>
      <c r="N5" s="1513"/>
      <c r="O5" s="459"/>
      <c r="P5" s="459"/>
      <c r="Q5" s="458"/>
      <c r="R5" s="490"/>
      <c r="S5" s="490"/>
      <c r="T5" s="490"/>
      <c r="U5" s="491"/>
    </row>
    <row r="6" spans="1:21" s="463" customFormat="1" ht="10.5" customHeight="1" thickBot="1">
      <c r="A6" s="492" t="s">
        <v>334</v>
      </c>
      <c r="B6" s="493" t="s">
        <v>335</v>
      </c>
      <c r="C6" s="461" t="s">
        <v>336</v>
      </c>
      <c r="D6" s="461" t="s">
        <v>337</v>
      </c>
      <c r="E6" s="1434" t="s">
        <v>35</v>
      </c>
      <c r="F6" s="1434"/>
      <c r="G6" s="1434"/>
      <c r="H6" s="1435"/>
      <c r="I6" s="1449" t="s">
        <v>338</v>
      </c>
      <c r="J6" s="1449"/>
      <c r="K6" s="1449">
        <v>4000</v>
      </c>
      <c r="L6" s="1449"/>
      <c r="M6" s="1363" t="s">
        <v>339</v>
      </c>
      <c r="N6" s="1363"/>
      <c r="O6" s="494">
        <v>10</v>
      </c>
      <c r="P6" s="495" t="s">
        <v>340</v>
      </c>
      <c r="Q6" s="1507" t="s">
        <v>341</v>
      </c>
      <c r="R6" s="1507"/>
      <c r="S6" s="1507"/>
      <c r="T6" s="1507"/>
      <c r="U6" s="1508"/>
    </row>
    <row r="7" spans="1:21" s="463" customFormat="1" ht="13.5" customHeight="1" thickBot="1">
      <c r="A7" s="492" t="s">
        <v>342</v>
      </c>
      <c r="B7" s="493" t="s">
        <v>343</v>
      </c>
      <c r="C7" s="461" t="s">
        <v>344</v>
      </c>
      <c r="D7" s="461" t="s">
        <v>345</v>
      </c>
      <c r="E7" s="1434" t="s">
        <v>35</v>
      </c>
      <c r="F7" s="1434"/>
      <c r="G7" s="1434"/>
      <c r="H7" s="1435"/>
      <c r="I7" s="1449" t="s">
        <v>346</v>
      </c>
      <c r="J7" s="1449"/>
      <c r="K7" s="1449">
        <v>1700</v>
      </c>
      <c r="L7" s="1449"/>
      <c r="M7" s="1363" t="s">
        <v>347</v>
      </c>
      <c r="N7" s="1363"/>
      <c r="O7" s="494">
        <v>12</v>
      </c>
      <c r="P7" s="495" t="s">
        <v>348</v>
      </c>
      <c r="Q7" s="1507"/>
      <c r="R7" s="1507"/>
      <c r="S7" s="1507"/>
      <c r="T7" s="1507"/>
      <c r="U7" s="1508"/>
    </row>
    <row r="8" spans="1:21" s="463" customFormat="1" ht="10.5" customHeight="1" thickBot="1">
      <c r="A8" s="492" t="s">
        <v>349</v>
      </c>
      <c r="B8" s="493" t="s">
        <v>343</v>
      </c>
      <c r="C8" s="461" t="s">
        <v>344</v>
      </c>
      <c r="D8" s="1111" t="s">
        <v>791</v>
      </c>
      <c r="E8" s="1434" t="s">
        <v>35</v>
      </c>
      <c r="F8" s="1434"/>
      <c r="G8" s="1434"/>
      <c r="H8" s="1435"/>
      <c r="I8" s="1449" t="s">
        <v>350</v>
      </c>
      <c r="J8" s="1449"/>
      <c r="K8" s="1449">
        <v>1100</v>
      </c>
      <c r="L8" s="1449"/>
      <c r="M8" s="1363" t="s">
        <v>339</v>
      </c>
      <c r="N8" s="1363"/>
      <c r="O8" s="494">
        <v>15</v>
      </c>
      <c r="P8" s="495" t="s">
        <v>351</v>
      </c>
      <c r="Q8" s="1492" t="s">
        <v>352</v>
      </c>
      <c r="R8" s="1371"/>
      <c r="S8" s="1371"/>
      <c r="T8" s="1371"/>
      <c r="U8" s="1509"/>
    </row>
    <row r="9" spans="1:21" s="463" customFormat="1" ht="10.5" customHeight="1" thickBot="1">
      <c r="A9" s="492" t="s">
        <v>353</v>
      </c>
      <c r="B9" s="493" t="s">
        <v>343</v>
      </c>
      <c r="C9" s="461" t="s">
        <v>344</v>
      </c>
      <c r="D9" s="461" t="s">
        <v>354</v>
      </c>
      <c r="E9" s="1434" t="s">
        <v>35</v>
      </c>
      <c r="F9" s="1434"/>
      <c r="G9" s="1434"/>
      <c r="H9" s="1435"/>
      <c r="I9" s="1449" t="s">
        <v>338</v>
      </c>
      <c r="J9" s="1449"/>
      <c r="K9" s="1449">
        <v>400</v>
      </c>
      <c r="L9" s="1449"/>
      <c r="M9" s="1363" t="s">
        <v>355</v>
      </c>
      <c r="N9" s="1363"/>
      <c r="O9" s="494">
        <v>20</v>
      </c>
      <c r="P9" s="495" t="s">
        <v>356</v>
      </c>
      <c r="Q9" s="490"/>
      <c r="R9" s="490"/>
      <c r="S9" s="490"/>
      <c r="T9" s="490"/>
      <c r="U9" s="491"/>
    </row>
    <row r="10" spans="1:21" s="463" customFormat="1" ht="10.5" customHeight="1" thickBot="1">
      <c r="A10" s="492" t="s">
        <v>357</v>
      </c>
      <c r="B10" s="493" t="s">
        <v>358</v>
      </c>
      <c r="C10" s="461" t="s">
        <v>359</v>
      </c>
      <c r="D10" s="461" t="s">
        <v>360</v>
      </c>
      <c r="E10" s="1434" t="s">
        <v>35</v>
      </c>
      <c r="F10" s="1434"/>
      <c r="G10" s="1434"/>
      <c r="H10" s="1435"/>
      <c r="I10" s="1449" t="s">
        <v>355</v>
      </c>
      <c r="J10" s="1449"/>
      <c r="K10" s="1449">
        <v>180</v>
      </c>
      <c r="L10" s="1449"/>
      <c r="M10" s="1450" t="s">
        <v>361</v>
      </c>
      <c r="N10" s="1364"/>
      <c r="O10" s="496"/>
      <c r="P10" s="497" t="s">
        <v>14</v>
      </c>
      <c r="Q10" s="490"/>
      <c r="R10" s="490"/>
      <c r="S10" s="490"/>
      <c r="T10" s="490"/>
      <c r="U10" s="498"/>
    </row>
    <row r="11" spans="1:21" s="463" customFormat="1" ht="10.5" customHeight="1" thickBot="1">
      <c r="A11" s="492" t="s">
        <v>362</v>
      </c>
      <c r="B11" s="493" t="s">
        <v>363</v>
      </c>
      <c r="C11" s="461" t="s">
        <v>364</v>
      </c>
      <c r="D11" s="461" t="s">
        <v>365</v>
      </c>
      <c r="E11" s="1434" t="s">
        <v>35</v>
      </c>
      <c r="F11" s="1434"/>
      <c r="G11" s="1434"/>
      <c r="H11" s="1435"/>
      <c r="I11" s="1449" t="s">
        <v>366</v>
      </c>
      <c r="J11" s="1449"/>
      <c r="K11" s="1449">
        <v>60</v>
      </c>
      <c r="L11" s="1449"/>
      <c r="M11" s="1450" t="s">
        <v>367</v>
      </c>
      <c r="N11" s="1364"/>
      <c r="O11" s="496"/>
      <c r="P11" s="957"/>
      <c r="Q11" s="497" t="s">
        <v>17</v>
      </c>
      <c r="R11" s="490"/>
      <c r="S11" s="490"/>
      <c r="T11" s="490"/>
      <c r="U11" s="498"/>
    </row>
    <row r="12" spans="1:21" s="463" customFormat="1" ht="10.5" customHeight="1" thickBot="1">
      <c r="A12" s="492" t="s">
        <v>368</v>
      </c>
      <c r="B12" s="493" t="s">
        <v>369</v>
      </c>
      <c r="C12" s="461" t="s">
        <v>370</v>
      </c>
      <c r="D12" s="461" t="s">
        <v>371</v>
      </c>
      <c r="E12" s="1434" t="s">
        <v>35</v>
      </c>
      <c r="F12" s="1434"/>
      <c r="G12" s="1434"/>
      <c r="H12" s="1435"/>
      <c r="I12" s="1449" t="s">
        <v>372</v>
      </c>
      <c r="J12" s="1449"/>
      <c r="K12" s="1449">
        <v>24</v>
      </c>
      <c r="L12" s="1449"/>
      <c r="M12" s="1450" t="s">
        <v>373</v>
      </c>
      <c r="N12" s="1364"/>
      <c r="O12" s="496"/>
      <c r="P12" s="958"/>
      <c r="Q12" s="957"/>
      <c r="R12" s="497" t="s">
        <v>20</v>
      </c>
      <c r="S12" s="490"/>
      <c r="T12" s="490"/>
      <c r="U12" s="498"/>
    </row>
    <row r="13" spans="1:21" s="463" customFormat="1" ht="10.5" customHeight="1" thickBot="1">
      <c r="A13" s="492" t="s">
        <v>374</v>
      </c>
      <c r="B13" s="493" t="s">
        <v>375</v>
      </c>
      <c r="C13" s="461" t="s">
        <v>376</v>
      </c>
      <c r="D13" s="461" t="s">
        <v>377</v>
      </c>
      <c r="E13" s="1434" t="s">
        <v>35</v>
      </c>
      <c r="F13" s="1434"/>
      <c r="G13" s="1434"/>
      <c r="H13" s="1435"/>
      <c r="I13" s="1449" t="s">
        <v>366</v>
      </c>
      <c r="J13" s="1449"/>
      <c r="K13" s="1449">
        <v>15</v>
      </c>
      <c r="L13" s="1449"/>
      <c r="M13" s="1450" t="s">
        <v>378</v>
      </c>
      <c r="N13" s="1364"/>
      <c r="O13" s="496"/>
      <c r="P13" s="958"/>
      <c r="Q13" s="496"/>
      <c r="R13" s="957"/>
      <c r="S13" s="497" t="s">
        <v>24</v>
      </c>
      <c r="T13" s="490"/>
      <c r="U13" s="498"/>
    </row>
    <row r="14" spans="1:21" s="463" customFormat="1" ht="10.5" customHeight="1" thickBot="1">
      <c r="A14" s="492" t="s">
        <v>379</v>
      </c>
      <c r="B14" s="493" t="s">
        <v>380</v>
      </c>
      <c r="C14" s="461" t="s">
        <v>381</v>
      </c>
      <c r="D14" s="461" t="s">
        <v>382</v>
      </c>
      <c r="E14" s="1434" t="s">
        <v>35</v>
      </c>
      <c r="F14" s="1434"/>
      <c r="G14" s="1434"/>
      <c r="H14" s="1435"/>
      <c r="I14" s="1449" t="s">
        <v>383</v>
      </c>
      <c r="J14" s="1449"/>
      <c r="K14" s="1449">
        <v>6.6</v>
      </c>
      <c r="L14" s="1449"/>
      <c r="M14" s="1450" t="s">
        <v>372</v>
      </c>
      <c r="N14" s="1364"/>
      <c r="O14" s="496"/>
      <c r="P14" s="958"/>
      <c r="Q14" s="958"/>
      <c r="R14" s="958"/>
      <c r="S14" s="496"/>
      <c r="T14" s="499" t="s">
        <v>28</v>
      </c>
      <c r="U14" s="498"/>
    </row>
    <row r="15" spans="1:21" s="463" customFormat="1" ht="10.5" customHeight="1" thickBot="1">
      <c r="A15" s="492" t="s">
        <v>384</v>
      </c>
      <c r="B15" s="493" t="s">
        <v>385</v>
      </c>
      <c r="C15" s="461" t="s">
        <v>386</v>
      </c>
      <c r="D15" s="461" t="s">
        <v>387</v>
      </c>
      <c r="E15" s="1434" t="s">
        <v>35</v>
      </c>
      <c r="F15" s="1434"/>
      <c r="G15" s="1434"/>
      <c r="H15" s="1435"/>
      <c r="I15" s="1449" t="s">
        <v>388</v>
      </c>
      <c r="J15" s="1449"/>
      <c r="K15" s="1449">
        <v>2.3</v>
      </c>
      <c r="L15" s="1449"/>
      <c r="M15" s="1450" t="s">
        <v>389</v>
      </c>
      <c r="N15" s="1364"/>
      <c r="O15" s="960"/>
      <c r="P15" s="961"/>
      <c r="Q15" s="961"/>
      <c r="R15" s="961"/>
      <c r="S15" s="961"/>
      <c r="T15" s="959"/>
      <c r="U15" s="500" t="s">
        <v>390</v>
      </c>
    </row>
    <row r="16" spans="1:21" s="463" customFormat="1" ht="24" customHeight="1" thickBot="1">
      <c r="A16" s="492" t="s">
        <v>391</v>
      </c>
      <c r="B16" s="501" t="s">
        <v>392</v>
      </c>
      <c r="C16" s="502" t="s">
        <v>393</v>
      </c>
      <c r="D16" s="1450" t="s">
        <v>296</v>
      </c>
      <c r="E16" s="1363"/>
      <c r="F16" s="1363"/>
      <c r="G16" s="1363"/>
      <c r="H16" s="1363"/>
      <c r="I16" s="1363"/>
      <c r="J16" s="1363"/>
      <c r="K16" s="1363"/>
      <c r="L16" s="1434"/>
      <c r="M16" s="1434"/>
      <c r="N16" s="1474"/>
      <c r="O16" s="1504" t="s">
        <v>394</v>
      </c>
      <c r="P16" s="1505"/>
      <c r="Q16" s="1505"/>
      <c r="R16" s="1505"/>
      <c r="S16" s="1505"/>
      <c r="T16" s="1505"/>
      <c r="U16" s="1506"/>
    </row>
    <row r="17" spans="1:21" s="463" customFormat="1" ht="10.5" customHeight="1" thickBot="1">
      <c r="A17" s="503"/>
      <c r="B17" s="504"/>
      <c r="C17" s="458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505"/>
      <c r="O17" s="506">
        <f>Лист1!A1*45600</f>
        <v>50160.00000000001</v>
      </c>
      <c r="P17" s="507">
        <f>Лист1!A1*47850</f>
        <v>52635.00000000001</v>
      </c>
      <c r="Q17" s="507">
        <f>Лист1!A1*54900</f>
        <v>60390.00000000001</v>
      </c>
      <c r="R17" s="508">
        <f>Лист1!A1*60750</f>
        <v>66825</v>
      </c>
      <c r="S17" s="508">
        <f>Лист1!A1*94350</f>
        <v>103785.00000000001</v>
      </c>
      <c r="T17" s="508">
        <f>Лист1!A1*120600</f>
        <v>132660</v>
      </c>
      <c r="U17" s="509">
        <f>Лист1!A1*191000</f>
        <v>210100.00000000003</v>
      </c>
    </row>
    <row r="18" spans="1:22" s="463" customFormat="1" ht="10.5" customHeight="1" thickBot="1">
      <c r="A18" s="1462" t="s">
        <v>69</v>
      </c>
      <c r="B18" s="1379"/>
      <c r="C18" s="1379"/>
      <c r="D18" s="1379"/>
      <c r="E18" s="1379"/>
      <c r="F18" s="1379"/>
      <c r="G18" s="1379"/>
      <c r="H18" s="1379"/>
      <c r="I18" s="1379"/>
      <c r="J18" s="1379"/>
      <c r="K18" s="1379"/>
      <c r="L18" s="1379"/>
      <c r="M18" s="1379"/>
      <c r="N18" s="1379"/>
      <c r="O18" s="1495" t="s">
        <v>395</v>
      </c>
      <c r="P18" s="1496"/>
      <c r="Q18" s="1496"/>
      <c r="R18" s="1496"/>
      <c r="S18" s="1496"/>
      <c r="T18" s="1496"/>
      <c r="U18" s="1496"/>
      <c r="V18" s="809"/>
    </row>
    <row r="19" spans="1:21" s="463" customFormat="1" ht="10.5" customHeight="1" thickBot="1">
      <c r="A19" s="489"/>
      <c r="B19" s="510" t="s">
        <v>32</v>
      </c>
      <c r="C19" s="1472" t="s">
        <v>396</v>
      </c>
      <c r="D19" s="1497"/>
      <c r="E19" s="1497"/>
      <c r="F19" s="1497"/>
      <c r="G19" s="1497"/>
      <c r="H19" s="1497"/>
      <c r="I19" s="1497"/>
      <c r="J19" s="1497"/>
      <c r="K19" s="1497"/>
      <c r="L19" s="1497"/>
      <c r="M19" s="1497"/>
      <c r="N19" s="1498"/>
      <c r="O19" s="1499" t="s">
        <v>274</v>
      </c>
      <c r="P19" s="1500"/>
      <c r="Q19" s="1500"/>
      <c r="R19" s="1500"/>
      <c r="S19" s="1500"/>
      <c r="T19" s="1500"/>
      <c r="U19" s="1501"/>
    </row>
    <row r="20" spans="1:22" s="463" customFormat="1" ht="10.5" customHeight="1" thickBot="1">
      <c r="A20" s="489"/>
      <c r="B20" s="510" t="s">
        <v>33</v>
      </c>
      <c r="C20" s="1472" t="s">
        <v>397</v>
      </c>
      <c r="D20" s="1497"/>
      <c r="E20" s="1497"/>
      <c r="F20" s="1497"/>
      <c r="G20" s="1497"/>
      <c r="H20" s="1497"/>
      <c r="I20" s="1497"/>
      <c r="J20" s="1497"/>
      <c r="K20" s="1497"/>
      <c r="L20" s="1497"/>
      <c r="M20" s="1497"/>
      <c r="N20" s="1497"/>
      <c r="O20" s="461">
        <f>Лист1!A1*27600</f>
        <v>30360.000000000004</v>
      </c>
      <c r="P20" s="461">
        <f>Лист1!A1*30750</f>
        <v>33825</v>
      </c>
      <c r="Q20" s="511">
        <f>Лист1!A1*39600</f>
        <v>43560</v>
      </c>
      <c r="R20" s="1502"/>
      <c r="S20" s="1503"/>
      <c r="T20" s="1503"/>
      <c r="U20" s="1503"/>
      <c r="V20" s="809"/>
    </row>
    <row r="21" spans="1:21" s="463" customFormat="1" ht="10.5" customHeight="1" thickBot="1">
      <c r="A21" s="1462" t="s">
        <v>290</v>
      </c>
      <c r="B21" s="1325"/>
      <c r="C21" s="1325"/>
      <c r="D21" s="1325"/>
      <c r="E21" s="1325"/>
      <c r="F21" s="1325"/>
      <c r="G21" s="1325"/>
      <c r="H21" s="1325"/>
      <c r="I21" s="1325"/>
      <c r="J21" s="1325"/>
      <c r="K21" s="1325"/>
      <c r="L21" s="1325"/>
      <c r="M21" s="1325"/>
      <c r="N21" s="1325"/>
      <c r="O21" s="1446"/>
      <c r="P21" s="1487"/>
      <c r="Q21" s="1487"/>
      <c r="R21" s="1488"/>
      <c r="S21" s="1488"/>
      <c r="T21" s="1488"/>
      <c r="U21" s="1489"/>
    </row>
    <row r="22" spans="1:21" s="463" customFormat="1" ht="10.5" customHeight="1" thickBot="1">
      <c r="A22" s="489"/>
      <c r="B22" s="458"/>
      <c r="C22" s="510">
        <v>1</v>
      </c>
      <c r="D22" s="1362" t="s">
        <v>398</v>
      </c>
      <c r="E22" s="1434"/>
      <c r="F22" s="1434"/>
      <c r="G22" s="1434"/>
      <c r="H22" s="1434"/>
      <c r="I22" s="1434"/>
      <c r="J22" s="1434"/>
      <c r="K22" s="1434"/>
      <c r="L22" s="1434"/>
      <c r="M22" s="1434"/>
      <c r="N22" s="1434"/>
      <c r="O22" s="1490" t="s">
        <v>274</v>
      </c>
      <c r="P22" s="1491"/>
      <c r="Q22" s="1491"/>
      <c r="R22" s="1491"/>
      <c r="S22" s="1491"/>
      <c r="T22" s="1492"/>
      <c r="U22" s="1372"/>
    </row>
    <row r="23" spans="1:21" s="463" customFormat="1" ht="10.5" customHeight="1" thickBot="1">
      <c r="A23" s="489"/>
      <c r="B23" s="458"/>
      <c r="C23" s="510">
        <v>2</v>
      </c>
      <c r="D23" s="1362" t="s">
        <v>399</v>
      </c>
      <c r="E23" s="1434"/>
      <c r="F23" s="1434"/>
      <c r="G23" s="1434"/>
      <c r="H23" s="1434"/>
      <c r="I23" s="1434"/>
      <c r="J23" s="1434"/>
      <c r="K23" s="1434"/>
      <c r="L23" s="1434"/>
      <c r="M23" s="1434"/>
      <c r="N23" s="1434"/>
      <c r="O23" s="1468" t="s">
        <v>274</v>
      </c>
      <c r="P23" s="1437"/>
      <c r="Q23" s="1437"/>
      <c r="R23" s="1437"/>
      <c r="S23" s="1437"/>
      <c r="T23" s="1371"/>
      <c r="U23" s="1372"/>
    </row>
    <row r="24" spans="1:21" s="463" customFormat="1" ht="10.5" customHeight="1" thickBot="1">
      <c r="A24" s="489"/>
      <c r="B24" s="458"/>
      <c r="C24" s="510">
        <v>3</v>
      </c>
      <c r="D24" s="1362" t="s">
        <v>400</v>
      </c>
      <c r="E24" s="1434"/>
      <c r="F24" s="1434"/>
      <c r="G24" s="1434"/>
      <c r="H24" s="1434"/>
      <c r="I24" s="1434"/>
      <c r="J24" s="1434"/>
      <c r="K24" s="1434"/>
      <c r="L24" s="1434"/>
      <c r="M24" s="1434"/>
      <c r="N24" s="1434"/>
      <c r="O24" s="501">
        <f>Лист1!A1*11100</f>
        <v>12210.000000000002</v>
      </c>
      <c r="P24" s="461">
        <f>Лист1!A1*11600</f>
        <v>12760.000000000002</v>
      </c>
      <c r="Q24" s="461">
        <f>Лист1!A1*12900</f>
        <v>14190.000000000002</v>
      </c>
      <c r="R24" s="512">
        <f>Лист1!A1*15750</f>
        <v>17325</v>
      </c>
      <c r="S24" s="512">
        <f>Лист1!A1*25550</f>
        <v>28105.000000000004</v>
      </c>
      <c r="T24" s="1493"/>
      <c r="U24" s="1494"/>
    </row>
    <row r="25" spans="1:21" s="463" customFormat="1" ht="10.5" customHeight="1" thickBot="1">
      <c r="A25" s="489"/>
      <c r="B25" s="458"/>
      <c r="C25" s="510">
        <v>4</v>
      </c>
      <c r="D25" s="1362" t="s">
        <v>402</v>
      </c>
      <c r="E25" s="1434"/>
      <c r="F25" s="1434"/>
      <c r="G25" s="1434"/>
      <c r="H25" s="1434"/>
      <c r="I25" s="1434"/>
      <c r="J25" s="1434"/>
      <c r="K25" s="1434"/>
      <c r="L25" s="1434"/>
      <c r="M25" s="1434"/>
      <c r="N25" s="1434"/>
      <c r="O25" s="501">
        <f>Лист1!A1*6900</f>
        <v>7590.000000000001</v>
      </c>
      <c r="P25" s="461">
        <f>Лист1!A1*8000</f>
        <v>8800</v>
      </c>
      <c r="Q25" s="461">
        <f>Лист1!A1*10350</f>
        <v>11385.000000000002</v>
      </c>
      <c r="R25" s="512">
        <f>Лист1!A1*13700</f>
        <v>15070.000000000002</v>
      </c>
      <c r="S25" s="512">
        <f>Лист1!A1*14250</f>
        <v>15675.000000000002</v>
      </c>
      <c r="T25" s="512">
        <f>Лист1!A1*16500</f>
        <v>18150</v>
      </c>
      <c r="U25" s="513">
        <f>Лист1!A1*24600</f>
        <v>27060.000000000004</v>
      </c>
    </row>
    <row r="26" spans="1:21" s="463" customFormat="1" ht="10.5" customHeight="1" thickBot="1">
      <c r="A26" s="489"/>
      <c r="B26" s="458"/>
      <c r="C26" s="510">
        <v>5</v>
      </c>
      <c r="D26" s="1362" t="s">
        <v>401</v>
      </c>
      <c r="E26" s="1434"/>
      <c r="F26" s="1434"/>
      <c r="G26" s="1434"/>
      <c r="H26" s="1434"/>
      <c r="I26" s="1434"/>
      <c r="J26" s="1434"/>
      <c r="K26" s="1434"/>
      <c r="L26" s="1434"/>
      <c r="M26" s="1434"/>
      <c r="N26" s="1434"/>
      <c r="O26" s="501">
        <f>Лист1!A1*9000</f>
        <v>9900</v>
      </c>
      <c r="P26" s="461">
        <f>Лист1!A1*10500</f>
        <v>11550.000000000002</v>
      </c>
      <c r="Q26" s="461">
        <f>Лист1!A1*13100</f>
        <v>14410.000000000002</v>
      </c>
      <c r="R26" s="512">
        <f>Лист1!A1*15000</f>
        <v>16500</v>
      </c>
      <c r="S26" s="512">
        <f>Лист1!A1*16500</f>
        <v>18150</v>
      </c>
      <c r="T26" s="512">
        <f>Лист1!A1*25000</f>
        <v>27500.000000000004</v>
      </c>
      <c r="U26" s="513">
        <f>Лист1!A1*36600</f>
        <v>40260</v>
      </c>
    </row>
    <row r="27" spans="1:21" s="463" customFormat="1" ht="10.5" customHeight="1" thickBot="1">
      <c r="A27" s="489"/>
      <c r="B27" s="458"/>
      <c r="C27" s="510">
        <v>6</v>
      </c>
      <c r="D27" s="1362" t="s">
        <v>403</v>
      </c>
      <c r="E27" s="1434"/>
      <c r="F27" s="1434"/>
      <c r="G27" s="1434"/>
      <c r="H27" s="1434"/>
      <c r="I27" s="1434"/>
      <c r="J27" s="1434"/>
      <c r="K27" s="1434"/>
      <c r="L27" s="1434"/>
      <c r="M27" s="1434"/>
      <c r="N27" s="1434"/>
      <c r="O27" s="664">
        <f>Лист1!A1*9000</f>
        <v>9900</v>
      </c>
      <c r="P27" s="663">
        <f>Лист1!A1*10500</f>
        <v>11550.000000000002</v>
      </c>
      <c r="Q27" s="663">
        <f>Лист1!A1*13100</f>
        <v>14410.000000000002</v>
      </c>
      <c r="R27" s="665">
        <f>Лист1!A1*15000</f>
        <v>16500</v>
      </c>
      <c r="S27" s="665">
        <f>Лист1!A1*16500</f>
        <v>18150</v>
      </c>
      <c r="T27" s="665">
        <f>Лист1!A1*25000</f>
        <v>27500.000000000004</v>
      </c>
      <c r="U27" s="513">
        <f>Лист1!A1*36600</f>
        <v>40260</v>
      </c>
    </row>
    <row r="28" spans="1:21" s="463" customFormat="1" ht="10.5" customHeight="1" thickBot="1">
      <c r="A28" s="489"/>
      <c r="B28" s="458"/>
      <c r="C28" s="510">
        <v>7</v>
      </c>
      <c r="D28" s="1362" t="s">
        <v>404</v>
      </c>
      <c r="E28" s="1434"/>
      <c r="F28" s="1434"/>
      <c r="G28" s="1434"/>
      <c r="H28" s="1434"/>
      <c r="I28" s="1434"/>
      <c r="J28" s="1434"/>
      <c r="K28" s="1434"/>
      <c r="L28" s="1434"/>
      <c r="M28" s="1434"/>
      <c r="N28" s="1434"/>
      <c r="O28" s="664">
        <f>Лист1!A1*9000</f>
        <v>9900</v>
      </c>
      <c r="P28" s="663">
        <f>Лист1!A1*10500</f>
        <v>11550.000000000002</v>
      </c>
      <c r="Q28" s="663">
        <f>Лист1!A1*13100</f>
        <v>14410.000000000002</v>
      </c>
      <c r="R28" s="665">
        <f>Лист1!A1*15000</f>
        <v>16500</v>
      </c>
      <c r="S28" s="665">
        <f>Лист1!A1*16500</f>
        <v>18150</v>
      </c>
      <c r="T28" s="665">
        <f>Лист1!A1*25000</f>
        <v>27500.000000000004</v>
      </c>
      <c r="U28" s="513">
        <f>Лист1!A1*36600</f>
        <v>40260</v>
      </c>
    </row>
    <row r="29" spans="1:21" s="463" customFormat="1" ht="10.5" customHeight="1" thickBot="1">
      <c r="A29" s="489"/>
      <c r="B29" s="458"/>
      <c r="C29" s="510">
        <v>8</v>
      </c>
      <c r="D29" s="1362" t="s">
        <v>405</v>
      </c>
      <c r="E29" s="1434"/>
      <c r="F29" s="1434"/>
      <c r="G29" s="1434"/>
      <c r="H29" s="1434"/>
      <c r="I29" s="1434"/>
      <c r="J29" s="1434"/>
      <c r="K29" s="1434"/>
      <c r="L29" s="1434"/>
      <c r="M29" s="1434"/>
      <c r="N29" s="1434"/>
      <c r="O29" s="501">
        <f>Лист1!A1*10500</f>
        <v>11550.000000000002</v>
      </c>
      <c r="P29" s="461">
        <f>Лист1!A1*12450</f>
        <v>13695.000000000002</v>
      </c>
      <c r="Q29" s="461">
        <f>Лист1!A1*15450</f>
        <v>16995</v>
      </c>
      <c r="R29" s="512">
        <f>Лист1!A1*18750</f>
        <v>20625</v>
      </c>
      <c r="S29" s="1086">
        <f>Лист1!A1*25500</f>
        <v>28050.000000000004</v>
      </c>
      <c r="T29" s="1086">
        <f>Лист1!A1*30900</f>
        <v>33990</v>
      </c>
      <c r="U29" s="513">
        <f>Лист1!A1*42750</f>
        <v>47025.00000000001</v>
      </c>
    </row>
    <row r="30" spans="1:21" s="463" customFormat="1" ht="10.5" customHeight="1" thickBot="1">
      <c r="A30" s="489"/>
      <c r="B30" s="458"/>
      <c r="C30" s="510">
        <v>9</v>
      </c>
      <c r="D30" s="1362" t="s">
        <v>406</v>
      </c>
      <c r="E30" s="1434"/>
      <c r="F30" s="1434"/>
      <c r="G30" s="1434"/>
      <c r="H30" s="1434"/>
      <c r="I30" s="1434"/>
      <c r="J30" s="1434"/>
      <c r="K30" s="1434"/>
      <c r="L30" s="1434"/>
      <c r="M30" s="1434"/>
      <c r="N30" s="1434"/>
      <c r="O30" s="1362" t="s">
        <v>296</v>
      </c>
      <c r="P30" s="1434"/>
      <c r="Q30" s="1434"/>
      <c r="R30" s="1434"/>
      <c r="S30" s="1434"/>
      <c r="T30" s="1434"/>
      <c r="U30" s="1474"/>
    </row>
    <row r="31" spans="1:21" s="463" customFormat="1" ht="10.5" customHeight="1">
      <c r="A31" s="1485" t="s">
        <v>407</v>
      </c>
      <c r="B31" s="1371"/>
      <c r="C31" s="1371"/>
      <c r="D31" s="1371"/>
      <c r="E31" s="1371"/>
      <c r="F31" s="1371"/>
      <c r="G31" s="1371"/>
      <c r="H31" s="1371"/>
      <c r="I31" s="1371"/>
      <c r="J31" s="1371"/>
      <c r="K31" s="1371"/>
      <c r="L31" s="1371"/>
      <c r="M31" s="1371"/>
      <c r="N31" s="1371"/>
      <c r="O31" s="514"/>
      <c r="P31" s="459"/>
      <c r="Q31" s="459"/>
      <c r="R31" s="459"/>
      <c r="S31" s="459"/>
      <c r="T31" s="459"/>
      <c r="U31" s="515"/>
    </row>
    <row r="32" spans="1:21" s="463" customFormat="1" ht="10.5" customHeight="1" thickBot="1">
      <c r="A32" s="1462" t="s">
        <v>408</v>
      </c>
      <c r="B32" s="1325"/>
      <c r="C32" s="1325"/>
      <c r="D32" s="1325"/>
      <c r="E32" s="1325"/>
      <c r="F32" s="1325"/>
      <c r="G32" s="1325"/>
      <c r="H32" s="1325"/>
      <c r="I32" s="1325"/>
      <c r="J32" s="1325"/>
      <c r="K32" s="1325"/>
      <c r="L32" s="1325"/>
      <c r="M32" s="1325"/>
      <c r="N32" s="1325"/>
      <c r="O32" s="516"/>
      <c r="P32" s="458"/>
      <c r="Q32" s="458"/>
      <c r="R32" s="490"/>
      <c r="S32" s="490"/>
      <c r="T32" s="490"/>
      <c r="U32" s="517"/>
    </row>
    <row r="33" spans="1:21" s="463" customFormat="1" ht="10.5" customHeight="1" thickBot="1">
      <c r="A33" s="1129"/>
      <c r="B33" s="1130"/>
      <c r="C33" s="1130"/>
      <c r="D33" s="510" t="s">
        <v>409</v>
      </c>
      <c r="E33" s="1472" t="s">
        <v>410</v>
      </c>
      <c r="F33" s="1460"/>
      <c r="G33" s="1460"/>
      <c r="H33" s="1460"/>
      <c r="I33" s="1460"/>
      <c r="J33" s="1460"/>
      <c r="K33" s="1460"/>
      <c r="L33" s="1460"/>
      <c r="M33" s="1460"/>
      <c r="N33" s="1461"/>
      <c r="O33" s="1486" t="s">
        <v>274</v>
      </c>
      <c r="P33" s="1434"/>
      <c r="Q33" s="1434"/>
      <c r="R33" s="1434"/>
      <c r="S33" s="1434"/>
      <c r="T33" s="1434"/>
      <c r="U33" s="1474"/>
    </row>
    <row r="34" spans="1:21" s="463" customFormat="1" ht="10.5" customHeight="1" thickBot="1">
      <c r="A34" s="1129"/>
      <c r="B34" s="1130"/>
      <c r="C34" s="1130"/>
      <c r="D34" s="510" t="s">
        <v>411</v>
      </c>
      <c r="E34" s="1472" t="s">
        <v>412</v>
      </c>
      <c r="F34" s="1460"/>
      <c r="G34" s="1460"/>
      <c r="H34" s="1460"/>
      <c r="I34" s="1460"/>
      <c r="J34" s="1460"/>
      <c r="K34" s="1460"/>
      <c r="L34" s="1460"/>
      <c r="M34" s="1460"/>
      <c r="N34" s="1461"/>
      <c r="O34" s="1128"/>
      <c r="P34" s="1128"/>
      <c r="Q34" s="1128"/>
      <c r="R34" s="1142"/>
      <c r="S34" s="1433" t="s">
        <v>36</v>
      </c>
      <c r="T34" s="1434"/>
      <c r="U34" s="1474"/>
    </row>
    <row r="35" spans="1:21" s="463" customFormat="1" ht="39" customHeight="1" thickBot="1">
      <c r="A35" s="1129"/>
      <c r="B35" s="1130"/>
      <c r="C35" s="1130"/>
      <c r="D35" s="510" t="s">
        <v>32</v>
      </c>
      <c r="E35" s="1472" t="s">
        <v>413</v>
      </c>
      <c r="F35" s="1460"/>
      <c r="G35" s="1460"/>
      <c r="H35" s="1460"/>
      <c r="I35" s="1460"/>
      <c r="J35" s="1460"/>
      <c r="K35" s="1460"/>
      <c r="L35" s="1460"/>
      <c r="M35" s="1460"/>
      <c r="N35" s="1461"/>
      <c r="O35" s="1480" t="s">
        <v>841</v>
      </c>
      <c r="P35" s="1481"/>
      <c r="Q35" s="1481"/>
      <c r="R35" s="1481"/>
      <c r="S35" s="1481"/>
      <c r="T35" s="1481"/>
      <c r="U35" s="1482"/>
    </row>
    <row r="36" spans="1:21" s="463" customFormat="1" ht="10.5" customHeight="1" thickBot="1">
      <c r="A36" s="1462" t="s">
        <v>414</v>
      </c>
      <c r="B36" s="1325"/>
      <c r="C36" s="1325"/>
      <c r="D36" s="1325"/>
      <c r="E36" s="1325"/>
      <c r="F36" s="1325"/>
      <c r="G36" s="1325"/>
      <c r="H36" s="1325"/>
      <c r="I36" s="1325"/>
      <c r="J36" s="1325"/>
      <c r="K36" s="1325"/>
      <c r="L36" s="1325"/>
      <c r="M36" s="1325"/>
      <c r="N36" s="1483"/>
      <c r="O36" s="1484"/>
      <c r="P36" s="1371"/>
      <c r="Q36" s="1371"/>
      <c r="R36" s="1371"/>
      <c r="S36" s="1371"/>
      <c r="T36" s="1371"/>
      <c r="U36" s="1372"/>
    </row>
    <row r="37" spans="1:21" s="463" customFormat="1" ht="10.5" customHeight="1" thickBot="1">
      <c r="A37" s="489"/>
      <c r="B37" s="458"/>
      <c r="C37" s="458"/>
      <c r="D37" s="458"/>
      <c r="E37" s="510">
        <v>1</v>
      </c>
      <c r="F37" s="1472" t="s">
        <v>415</v>
      </c>
      <c r="G37" s="1460"/>
      <c r="H37" s="1460"/>
      <c r="I37" s="1460"/>
      <c r="J37" s="1460"/>
      <c r="K37" s="1460"/>
      <c r="L37" s="1460"/>
      <c r="M37" s="1460"/>
      <c r="N37" s="1461"/>
      <c r="O37" s="1468" t="s">
        <v>274</v>
      </c>
      <c r="P37" s="1437"/>
      <c r="Q37" s="1437"/>
      <c r="R37" s="1437"/>
      <c r="S37" s="1437"/>
      <c r="T37" s="1437"/>
      <c r="U37" s="1438"/>
    </row>
    <row r="38" spans="1:21" s="463" customFormat="1" ht="12.75" customHeight="1" thickBot="1">
      <c r="A38" s="489"/>
      <c r="B38" s="458"/>
      <c r="C38" s="458"/>
      <c r="D38" s="458"/>
      <c r="E38" s="510">
        <v>2</v>
      </c>
      <c r="F38" s="1475" t="s">
        <v>416</v>
      </c>
      <c r="G38" s="1453"/>
      <c r="H38" s="1453"/>
      <c r="I38" s="1453"/>
      <c r="J38" s="1453"/>
      <c r="K38" s="1453"/>
      <c r="L38" s="1453"/>
      <c r="M38" s="1453"/>
      <c r="N38" s="1454"/>
      <c r="O38" s="1451" t="s">
        <v>417</v>
      </c>
      <c r="P38" s="1437"/>
      <c r="Q38" s="1437"/>
      <c r="R38" s="1437"/>
      <c r="S38" s="1437"/>
      <c r="T38" s="1479">
        <f>Лист1!A1*13200</f>
        <v>14520.000000000002</v>
      </c>
      <c r="U38" s="1438"/>
    </row>
    <row r="39" spans="1:21" s="463" customFormat="1" ht="10.5" customHeight="1" thickBot="1">
      <c r="A39" s="1462" t="s">
        <v>418</v>
      </c>
      <c r="B39" s="1325"/>
      <c r="C39" s="1325"/>
      <c r="D39" s="1325"/>
      <c r="E39" s="1325"/>
      <c r="F39" s="1325"/>
      <c r="G39" s="1325"/>
      <c r="H39" s="1325"/>
      <c r="I39" s="1325"/>
      <c r="J39" s="1325"/>
      <c r="K39" s="1325"/>
      <c r="L39" s="1325"/>
      <c r="M39" s="1325"/>
      <c r="N39" s="1325"/>
      <c r="O39" s="1370"/>
      <c r="P39" s="1371"/>
      <c r="Q39" s="1371"/>
      <c r="R39" s="1371"/>
      <c r="S39" s="1371"/>
      <c r="T39" s="1371"/>
      <c r="U39" s="1372"/>
    </row>
    <row r="40" spans="1:21" s="463" customFormat="1" ht="10.5" customHeight="1" thickBot="1">
      <c r="A40" s="489"/>
      <c r="B40" s="458"/>
      <c r="C40" s="458"/>
      <c r="D40" s="458"/>
      <c r="E40" s="458"/>
      <c r="F40" s="458" t="s">
        <v>274</v>
      </c>
      <c r="G40" s="518">
        <v>1</v>
      </c>
      <c r="H40" s="1472" t="s">
        <v>419</v>
      </c>
      <c r="I40" s="1460"/>
      <c r="J40" s="1460"/>
      <c r="K40" s="1460"/>
      <c r="L40" s="1460"/>
      <c r="M40" s="1460"/>
      <c r="N40" s="1461"/>
      <c r="O40" s="1473" t="s">
        <v>274</v>
      </c>
      <c r="P40" s="1434"/>
      <c r="Q40" s="1434"/>
      <c r="R40" s="1434"/>
      <c r="S40" s="1434"/>
      <c r="T40" s="1434"/>
      <c r="U40" s="1474"/>
    </row>
    <row r="41" spans="1:21" s="463" customFormat="1" ht="14.25" customHeight="1" thickBot="1">
      <c r="A41" s="489"/>
      <c r="B41" s="458"/>
      <c r="C41" s="458"/>
      <c r="D41" s="458"/>
      <c r="E41" s="458"/>
      <c r="F41" s="458" t="s">
        <v>274</v>
      </c>
      <c r="G41" s="518">
        <v>2</v>
      </c>
      <c r="H41" s="1475" t="s">
        <v>420</v>
      </c>
      <c r="I41" s="1453"/>
      <c r="J41" s="1453"/>
      <c r="K41" s="1453"/>
      <c r="L41" s="1453"/>
      <c r="M41" s="1453"/>
      <c r="N41" s="1454"/>
      <c r="O41" s="1473" t="s">
        <v>274</v>
      </c>
      <c r="P41" s="1434"/>
      <c r="Q41" s="1434"/>
      <c r="R41" s="1434"/>
      <c r="S41" s="1434"/>
      <c r="T41" s="1434"/>
      <c r="U41" s="1474"/>
    </row>
    <row r="42" spans="1:21" s="463" customFormat="1" ht="10.5" customHeight="1" thickBot="1">
      <c r="A42" s="1476" t="s">
        <v>421</v>
      </c>
      <c r="B42" s="1477"/>
      <c r="C42" s="1477"/>
      <c r="D42" s="1477"/>
      <c r="E42" s="1477"/>
      <c r="F42" s="1477"/>
      <c r="G42" s="1477"/>
      <c r="H42" s="1477"/>
      <c r="I42" s="1477"/>
      <c r="J42" s="1477"/>
      <c r="K42" s="1477"/>
      <c r="L42" s="1477"/>
      <c r="M42" s="1477"/>
      <c r="N42" s="1478"/>
      <c r="O42" s="1370"/>
      <c r="P42" s="1371"/>
      <c r="Q42" s="1371"/>
      <c r="R42" s="1371"/>
      <c r="S42" s="1371"/>
      <c r="T42" s="1371"/>
      <c r="U42" s="1372"/>
    </row>
    <row r="43" spans="1:21" s="463" customFormat="1" ht="10.5" customHeight="1" thickBot="1">
      <c r="A43" s="489"/>
      <c r="B43" s="458"/>
      <c r="C43" s="458"/>
      <c r="D43" s="458"/>
      <c r="E43" s="458"/>
      <c r="F43" s="458"/>
      <c r="G43" s="458"/>
      <c r="H43" s="510">
        <v>1</v>
      </c>
      <c r="I43" s="1472" t="s">
        <v>422</v>
      </c>
      <c r="J43" s="1460"/>
      <c r="K43" s="1460"/>
      <c r="L43" s="1460"/>
      <c r="M43" s="1460"/>
      <c r="N43" s="1460"/>
      <c r="O43" s="1473" t="s">
        <v>274</v>
      </c>
      <c r="P43" s="1434"/>
      <c r="Q43" s="1434"/>
      <c r="R43" s="1434"/>
      <c r="S43" s="1434"/>
      <c r="T43" s="1434"/>
      <c r="U43" s="1474"/>
    </row>
    <row r="44" spans="1:21" s="463" customFormat="1" ht="10.5" customHeight="1" thickBot="1">
      <c r="A44" s="489"/>
      <c r="B44" s="458"/>
      <c r="C44" s="458"/>
      <c r="D44" s="458"/>
      <c r="E44" s="458"/>
      <c r="F44" s="458"/>
      <c r="G44" s="458"/>
      <c r="H44" s="510">
        <v>2</v>
      </c>
      <c r="I44" s="1472" t="s">
        <v>423</v>
      </c>
      <c r="J44" s="1460"/>
      <c r="K44" s="1460"/>
      <c r="L44" s="1460"/>
      <c r="M44" s="1460"/>
      <c r="N44" s="1460"/>
      <c r="O44" s="1473">
        <f>Лист1!A1*12300</f>
        <v>13530.000000000002</v>
      </c>
      <c r="P44" s="1434"/>
      <c r="Q44" s="1434"/>
      <c r="R44" s="1434"/>
      <c r="S44" s="1434"/>
      <c r="T44" s="1434"/>
      <c r="U44" s="1474"/>
    </row>
    <row r="45" spans="1:21" s="463" customFormat="1" ht="10.5" customHeight="1" thickBot="1">
      <c r="A45" s="489"/>
      <c r="B45" s="458"/>
      <c r="C45" s="458"/>
      <c r="D45" s="458"/>
      <c r="E45" s="458"/>
      <c r="F45" s="458"/>
      <c r="G45" s="458"/>
      <c r="H45" s="510">
        <v>3</v>
      </c>
      <c r="I45" s="1472" t="s">
        <v>424</v>
      </c>
      <c r="J45" s="1460"/>
      <c r="K45" s="1460"/>
      <c r="L45" s="1460"/>
      <c r="M45" s="1460"/>
      <c r="N45" s="1460"/>
      <c r="O45" s="1473">
        <f>Лист1!A1*6000</f>
        <v>6600.000000000001</v>
      </c>
      <c r="P45" s="1434"/>
      <c r="Q45" s="1434"/>
      <c r="R45" s="1434"/>
      <c r="S45" s="1434"/>
      <c r="T45" s="1434"/>
      <c r="U45" s="1474"/>
    </row>
    <row r="46" spans="1:21" s="463" customFormat="1" ht="10.5" customHeight="1" thickBot="1">
      <c r="A46" s="489"/>
      <c r="B46" s="458"/>
      <c r="C46" s="458"/>
      <c r="D46" s="458"/>
      <c r="E46" s="458"/>
      <c r="F46" s="458"/>
      <c r="G46" s="458"/>
      <c r="H46" s="510">
        <v>4</v>
      </c>
      <c r="I46" s="1472" t="s">
        <v>425</v>
      </c>
      <c r="J46" s="1460"/>
      <c r="K46" s="1460"/>
      <c r="L46" s="1460"/>
      <c r="M46" s="1460"/>
      <c r="N46" s="1460"/>
      <c r="O46" s="1473">
        <f>Лист1!A1*8000</f>
        <v>8800</v>
      </c>
      <c r="P46" s="1434"/>
      <c r="Q46" s="1434"/>
      <c r="R46" s="1434"/>
      <c r="S46" s="1434"/>
      <c r="T46" s="1434"/>
      <c r="U46" s="1474"/>
    </row>
    <row r="47" spans="1:21" s="463" customFormat="1" ht="10.5" customHeight="1" thickBot="1">
      <c r="A47" s="1462" t="s">
        <v>426</v>
      </c>
      <c r="B47" s="1325"/>
      <c r="C47" s="1325"/>
      <c r="D47" s="1325"/>
      <c r="E47" s="1325"/>
      <c r="F47" s="1325"/>
      <c r="G47" s="1325"/>
      <c r="H47" s="1325"/>
      <c r="I47" s="1325"/>
      <c r="J47" s="1325"/>
      <c r="K47" s="1325"/>
      <c r="L47" s="1325"/>
      <c r="M47" s="1325"/>
      <c r="N47" s="1325"/>
      <c r="O47" s="1370"/>
      <c r="P47" s="1371"/>
      <c r="Q47" s="1371"/>
      <c r="R47" s="1371"/>
      <c r="S47" s="1371"/>
      <c r="T47" s="1371"/>
      <c r="U47" s="1372"/>
    </row>
    <row r="48" spans="1:21" s="463" customFormat="1" ht="10.5" customHeight="1" thickBot="1">
      <c r="A48" s="489"/>
      <c r="B48" s="458"/>
      <c r="C48" s="458"/>
      <c r="D48" s="458"/>
      <c r="E48" s="458"/>
      <c r="F48" s="458"/>
      <c r="G48" s="458"/>
      <c r="H48" s="458"/>
      <c r="I48" s="510">
        <v>1</v>
      </c>
      <c r="J48" s="1466" t="s">
        <v>427</v>
      </c>
      <c r="K48" s="1467"/>
      <c r="L48" s="1467"/>
      <c r="M48" s="1467"/>
      <c r="N48" s="1467"/>
      <c r="O48" s="1468" t="s">
        <v>274</v>
      </c>
      <c r="P48" s="1437"/>
      <c r="Q48" s="1437"/>
      <c r="R48" s="1437"/>
      <c r="S48" s="1437"/>
      <c r="T48" s="1437"/>
      <c r="U48" s="1438"/>
    </row>
    <row r="49" spans="1:21" s="463" customFormat="1" ht="24" customHeight="1" thickBot="1">
      <c r="A49" s="489"/>
      <c r="B49" s="458"/>
      <c r="C49" s="458"/>
      <c r="D49" s="458"/>
      <c r="E49" s="458"/>
      <c r="F49" s="458"/>
      <c r="G49" s="458"/>
      <c r="H49" s="458"/>
      <c r="I49" s="510">
        <v>2</v>
      </c>
      <c r="J49" s="1469" t="s">
        <v>428</v>
      </c>
      <c r="K49" s="1470"/>
      <c r="L49" s="1470"/>
      <c r="M49" s="1470"/>
      <c r="N49" s="1471"/>
      <c r="O49" s="1451" t="s">
        <v>417</v>
      </c>
      <c r="P49" s="1437"/>
      <c r="Q49" s="1437"/>
      <c r="R49" s="1437"/>
      <c r="S49" s="1437"/>
      <c r="T49" s="512">
        <f>Лист1!A1*60450</f>
        <v>66495</v>
      </c>
      <c r="U49" s="513">
        <f>Лист1!A1*95100</f>
        <v>104610.00000000001</v>
      </c>
    </row>
    <row r="50" spans="1:21" s="463" customFormat="1" ht="10.5" customHeight="1" thickBot="1">
      <c r="A50" s="1462" t="s">
        <v>197</v>
      </c>
      <c r="B50" s="1325"/>
      <c r="C50" s="1325"/>
      <c r="D50" s="1325"/>
      <c r="E50" s="1325"/>
      <c r="F50" s="1325"/>
      <c r="G50" s="1325"/>
      <c r="H50" s="1325"/>
      <c r="I50" s="1325"/>
      <c r="J50" s="1325"/>
      <c r="K50" s="1325"/>
      <c r="L50" s="1325"/>
      <c r="M50" s="1325"/>
      <c r="N50" s="1325"/>
      <c r="O50" s="1463"/>
      <c r="P50" s="1464"/>
      <c r="Q50" s="1464"/>
      <c r="R50" s="1464"/>
      <c r="S50" s="1464"/>
      <c r="T50" s="1464"/>
      <c r="U50" s="1465"/>
    </row>
    <row r="51" spans="1:21" s="463" customFormat="1" ht="10.5" customHeight="1" thickBot="1">
      <c r="A51" s="489"/>
      <c r="B51" s="458"/>
      <c r="C51" s="458"/>
      <c r="D51" s="458"/>
      <c r="E51" s="458"/>
      <c r="F51" s="458"/>
      <c r="G51" s="458"/>
      <c r="H51" s="458"/>
      <c r="I51" s="458"/>
      <c r="J51" s="519" t="s">
        <v>429</v>
      </c>
      <c r="K51" s="1449" t="s">
        <v>430</v>
      </c>
      <c r="L51" s="1449"/>
      <c r="M51" s="1449"/>
      <c r="N51" s="1450"/>
      <c r="O51" s="1451">
        <f>Лист1!A1*2400</f>
        <v>2640</v>
      </c>
      <c r="P51" s="1437"/>
      <c r="Q51" s="1437"/>
      <c r="R51" s="1437"/>
      <c r="S51" s="1437"/>
      <c r="T51" s="1437"/>
      <c r="U51" s="1438"/>
    </row>
    <row r="52" spans="1:21" s="463" customFormat="1" ht="10.5" customHeight="1" thickBot="1">
      <c r="A52" s="666"/>
      <c r="B52" s="662"/>
      <c r="C52" s="662"/>
      <c r="D52" s="662"/>
      <c r="E52" s="662"/>
      <c r="F52" s="662"/>
      <c r="G52" s="662"/>
      <c r="H52" s="662"/>
      <c r="I52" s="662"/>
      <c r="J52" s="519" t="s">
        <v>634</v>
      </c>
      <c r="K52" s="1450"/>
      <c r="L52" s="1363"/>
      <c r="M52" s="1363"/>
      <c r="N52" s="1364"/>
      <c r="O52" s="1362" t="s">
        <v>786</v>
      </c>
      <c r="P52" s="1363"/>
      <c r="Q52" s="1363"/>
      <c r="R52" s="1363"/>
      <c r="S52" s="1363"/>
      <c r="T52" s="1363"/>
      <c r="U52" s="1364"/>
    </row>
    <row r="53" spans="1:21" s="463" customFormat="1" ht="10.5" customHeight="1" thickBot="1">
      <c r="A53" s="489"/>
      <c r="B53" s="458"/>
      <c r="C53" s="458"/>
      <c r="D53" s="458"/>
      <c r="E53" s="458"/>
      <c r="F53" s="458"/>
      <c r="G53" s="458"/>
      <c r="H53" s="458"/>
      <c r="I53" s="458"/>
      <c r="J53" s="519" t="s">
        <v>431</v>
      </c>
      <c r="K53" s="1449" t="s">
        <v>432</v>
      </c>
      <c r="L53" s="1449"/>
      <c r="M53" s="1449"/>
      <c r="N53" s="1450"/>
      <c r="O53" s="1451">
        <f>Лист1!A1*20100</f>
        <v>22110</v>
      </c>
      <c r="P53" s="1437"/>
      <c r="Q53" s="1437"/>
      <c r="R53" s="1437"/>
      <c r="S53" s="1437"/>
      <c r="T53" s="1437"/>
      <c r="U53" s="1438"/>
    </row>
    <row r="54" spans="1:21" s="463" customFormat="1" ht="10.5" customHeight="1" thickBot="1">
      <c r="A54" s="489"/>
      <c r="B54" s="458"/>
      <c r="C54" s="458"/>
      <c r="D54" s="458"/>
      <c r="E54" s="458"/>
      <c r="F54" s="458"/>
      <c r="G54" s="458"/>
      <c r="H54" s="458"/>
      <c r="I54" s="458"/>
      <c r="J54" s="519" t="s">
        <v>433</v>
      </c>
      <c r="K54" s="1449" t="s">
        <v>434</v>
      </c>
      <c r="L54" s="1449"/>
      <c r="M54" s="1449"/>
      <c r="N54" s="1450"/>
      <c r="O54" s="1451" t="s">
        <v>787</v>
      </c>
      <c r="P54" s="1437"/>
      <c r="Q54" s="1437"/>
      <c r="R54" s="1437"/>
      <c r="S54" s="1437"/>
      <c r="T54" s="1437"/>
      <c r="U54" s="1438"/>
    </row>
    <row r="55" spans="1:21" s="463" customFormat="1" ht="10.5" customHeight="1" thickBot="1">
      <c r="A55" s="1446" t="s">
        <v>435</v>
      </c>
      <c r="B55" s="1447"/>
      <c r="C55" s="1447"/>
      <c r="D55" s="1447"/>
      <c r="E55" s="1447"/>
      <c r="F55" s="1447"/>
      <c r="G55" s="1447"/>
      <c r="H55" s="1447"/>
      <c r="I55" s="1448"/>
      <c r="J55" s="519" t="s">
        <v>44</v>
      </c>
      <c r="K55" s="1459" t="s">
        <v>436</v>
      </c>
      <c r="L55" s="1460"/>
      <c r="M55" s="1460"/>
      <c r="N55" s="1461"/>
      <c r="O55" s="1451" t="s">
        <v>788</v>
      </c>
      <c r="P55" s="1437"/>
      <c r="Q55" s="1437"/>
      <c r="R55" s="1437"/>
      <c r="S55" s="1437"/>
      <c r="T55" s="1437"/>
      <c r="U55" s="1438"/>
    </row>
    <row r="56" spans="1:21" s="463" customFormat="1" ht="10.5" customHeight="1" thickBot="1">
      <c r="A56" s="1446" t="s">
        <v>437</v>
      </c>
      <c r="B56" s="1447"/>
      <c r="C56" s="1447"/>
      <c r="D56" s="1447"/>
      <c r="E56" s="1447"/>
      <c r="F56" s="1447"/>
      <c r="G56" s="1447"/>
      <c r="H56" s="1447"/>
      <c r="I56" s="1448"/>
      <c r="J56" s="519" t="s">
        <v>45</v>
      </c>
      <c r="K56" s="1459" t="s">
        <v>438</v>
      </c>
      <c r="L56" s="1460"/>
      <c r="M56" s="1460"/>
      <c r="N56" s="1461"/>
      <c r="O56" s="1451" t="s">
        <v>789</v>
      </c>
      <c r="P56" s="1437"/>
      <c r="Q56" s="1437"/>
      <c r="R56" s="1437"/>
      <c r="S56" s="1437"/>
      <c r="T56" s="1437"/>
      <c r="U56" s="1438"/>
    </row>
    <row r="57" spans="1:21" s="463" customFormat="1" ht="25.5" customHeight="1" thickBot="1">
      <c r="A57" s="1456" t="s">
        <v>311</v>
      </c>
      <c r="B57" s="1457"/>
      <c r="C57" s="1457"/>
      <c r="D57" s="1457"/>
      <c r="E57" s="1457"/>
      <c r="F57" s="1457"/>
      <c r="G57" s="1457"/>
      <c r="H57" s="1457"/>
      <c r="I57" s="1458"/>
      <c r="J57" s="519" t="s">
        <v>46</v>
      </c>
      <c r="K57" s="1459" t="s">
        <v>439</v>
      </c>
      <c r="L57" s="1460"/>
      <c r="M57" s="1460"/>
      <c r="N57" s="1461"/>
      <c r="O57" s="1451" t="s">
        <v>635</v>
      </c>
      <c r="P57" s="1437"/>
      <c r="Q57" s="1437"/>
      <c r="R57" s="1437"/>
      <c r="S57" s="1437"/>
      <c r="T57" s="1437"/>
      <c r="U57" s="1438"/>
    </row>
    <row r="58" spans="1:21" s="463" customFormat="1" ht="10.5" customHeight="1" thickBot="1">
      <c r="A58" s="1446" t="s">
        <v>437</v>
      </c>
      <c r="B58" s="1447"/>
      <c r="C58" s="1447"/>
      <c r="D58" s="1447"/>
      <c r="E58" s="1447"/>
      <c r="F58" s="1447"/>
      <c r="G58" s="1447"/>
      <c r="H58" s="1447"/>
      <c r="I58" s="1448"/>
      <c r="J58" s="519" t="s">
        <v>47</v>
      </c>
      <c r="K58" s="1449" t="s">
        <v>440</v>
      </c>
      <c r="L58" s="1449"/>
      <c r="M58" s="1449"/>
      <c r="N58" s="1450"/>
      <c r="O58" s="1451" t="s">
        <v>636</v>
      </c>
      <c r="P58" s="1437"/>
      <c r="Q58" s="1437"/>
      <c r="R58" s="1437"/>
      <c r="S58" s="1437"/>
      <c r="T58" s="1437"/>
      <c r="U58" s="1438"/>
    </row>
    <row r="59" spans="1:21" s="463" customFormat="1" ht="10.5" customHeight="1" thickBot="1">
      <c r="A59" s="1446" t="s">
        <v>441</v>
      </c>
      <c r="B59" s="1447"/>
      <c r="C59" s="1447"/>
      <c r="D59" s="1447"/>
      <c r="E59" s="1447"/>
      <c r="F59" s="1447"/>
      <c r="G59" s="1447"/>
      <c r="H59" s="1447"/>
      <c r="I59" s="1448"/>
      <c r="J59" s="519" t="s">
        <v>48</v>
      </c>
      <c r="K59" s="1449" t="s">
        <v>838</v>
      </c>
      <c r="L59" s="1449"/>
      <c r="M59" s="1449"/>
      <c r="N59" s="1450"/>
      <c r="O59" s="1451" t="s">
        <v>637</v>
      </c>
      <c r="P59" s="1437"/>
      <c r="Q59" s="1437"/>
      <c r="R59" s="1437"/>
      <c r="S59" s="1437"/>
      <c r="T59" s="1437"/>
      <c r="U59" s="1438"/>
    </row>
    <row r="60" spans="1:21" s="463" customFormat="1" ht="22.5" customHeight="1" thickBot="1">
      <c r="A60" s="489"/>
      <c r="B60" s="458"/>
      <c r="C60" s="458"/>
      <c r="D60" s="458"/>
      <c r="E60" s="458"/>
      <c r="F60" s="458"/>
      <c r="G60" s="458"/>
      <c r="H60" s="458"/>
      <c r="I60" s="458"/>
      <c r="J60" s="519" t="s">
        <v>50</v>
      </c>
      <c r="K60" s="1452" t="s">
        <v>442</v>
      </c>
      <c r="L60" s="1453"/>
      <c r="M60" s="1453"/>
      <c r="N60" s="1454"/>
      <c r="O60" s="1451" t="s">
        <v>638</v>
      </c>
      <c r="P60" s="1437"/>
      <c r="Q60" s="1437"/>
      <c r="R60" s="1437"/>
      <c r="S60" s="1437"/>
      <c r="T60" s="1437"/>
      <c r="U60" s="1438"/>
    </row>
    <row r="61" spans="1:21" s="463" customFormat="1" ht="10.5" customHeight="1" thickBot="1">
      <c r="A61" s="489"/>
      <c r="B61" s="458"/>
      <c r="C61" s="458"/>
      <c r="D61" s="458"/>
      <c r="E61" s="458"/>
      <c r="F61" s="458"/>
      <c r="G61" s="458"/>
      <c r="H61" s="458"/>
      <c r="I61" s="458"/>
      <c r="J61" s="519" t="s">
        <v>51</v>
      </c>
      <c r="K61" s="1449" t="s">
        <v>443</v>
      </c>
      <c r="L61" s="1449"/>
      <c r="M61" s="1449"/>
      <c r="N61" s="1450"/>
      <c r="O61" s="1455" t="s">
        <v>296</v>
      </c>
      <c r="P61" s="1440"/>
      <c r="Q61" s="1440"/>
      <c r="R61" s="1440"/>
      <c r="S61" s="1440"/>
      <c r="T61" s="1440"/>
      <c r="U61" s="1441"/>
    </row>
    <row r="62" spans="1:21" s="463" customFormat="1" ht="10.5" customHeight="1" thickBot="1">
      <c r="A62" s="1442" t="s">
        <v>322</v>
      </c>
      <c r="B62" s="1325"/>
      <c r="C62" s="1325"/>
      <c r="D62" s="1325"/>
      <c r="E62" s="1325"/>
      <c r="F62" s="1325"/>
      <c r="G62" s="1325"/>
      <c r="H62" s="1325"/>
      <c r="I62" s="1325"/>
      <c r="J62" s="1325"/>
      <c r="K62" s="458"/>
      <c r="L62" s="458"/>
      <c r="M62" s="458"/>
      <c r="N62" s="458"/>
      <c r="O62" s="458"/>
      <c r="P62" s="458"/>
      <c r="Q62" s="458"/>
      <c r="R62" s="490"/>
      <c r="S62" s="490"/>
      <c r="T62" s="490"/>
      <c r="U62" s="490"/>
    </row>
    <row r="63" spans="1:21" s="463" customFormat="1" ht="10.5" customHeight="1" thickBot="1">
      <c r="A63" s="492" t="s">
        <v>357</v>
      </c>
      <c r="B63" s="510" t="s">
        <v>32</v>
      </c>
      <c r="C63" s="510">
        <v>1</v>
      </c>
      <c r="D63" s="510" t="s">
        <v>409</v>
      </c>
      <c r="E63" s="510">
        <v>1</v>
      </c>
      <c r="F63" s="520" t="s">
        <v>274</v>
      </c>
      <c r="G63" s="497" t="s">
        <v>444</v>
      </c>
      <c r="H63" s="497" t="s">
        <v>445</v>
      </c>
      <c r="I63" s="497" t="s">
        <v>445</v>
      </c>
      <c r="J63" s="497" t="s">
        <v>46</v>
      </c>
      <c r="K63" s="510" t="s">
        <v>32</v>
      </c>
      <c r="L63" s="1370" t="s">
        <v>790</v>
      </c>
      <c r="M63" s="1443"/>
      <c r="N63" s="1443"/>
      <c r="O63" s="1371"/>
      <c r="P63" s="1371"/>
      <c r="Q63" s="1371"/>
      <c r="R63" s="1371"/>
      <c r="S63" s="1371"/>
      <c r="T63" s="1371"/>
      <c r="U63" s="1371"/>
    </row>
    <row r="64" spans="1:21" s="463" customFormat="1" ht="6" customHeight="1">
      <c r="A64" s="489"/>
      <c r="B64" s="458"/>
      <c r="C64" s="458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90"/>
      <c r="S64" s="490"/>
      <c r="T64" s="490"/>
      <c r="U64" s="490"/>
    </row>
    <row r="65" spans="1:21" s="463" customFormat="1" ht="15" customHeight="1" thickBot="1">
      <c r="A65" s="1444" t="s">
        <v>446</v>
      </c>
      <c r="B65" s="1445"/>
      <c r="C65" s="1445"/>
      <c r="D65" s="1445"/>
      <c r="E65" s="1445"/>
      <c r="F65" s="1445"/>
      <c r="G65" s="1445"/>
      <c r="H65" s="1445"/>
      <c r="I65" s="1445"/>
      <c r="J65" s="1445"/>
      <c r="K65" s="1445"/>
      <c r="L65" s="1445"/>
      <c r="M65" s="1445"/>
      <c r="N65" s="1445"/>
      <c r="O65" s="521" t="s">
        <v>447</v>
      </c>
      <c r="P65" s="521" t="s">
        <v>448</v>
      </c>
      <c r="Q65" s="521" t="s">
        <v>449</v>
      </c>
      <c r="R65" s="522" t="s">
        <v>450</v>
      </c>
      <c r="S65" s="522" t="s">
        <v>451</v>
      </c>
      <c r="T65" s="522" t="s">
        <v>452</v>
      </c>
      <c r="U65" s="522" t="s">
        <v>453</v>
      </c>
    </row>
    <row r="66" spans="1:21" s="463" customFormat="1" ht="23.25" customHeight="1">
      <c r="A66" s="1430" t="s">
        <v>454</v>
      </c>
      <c r="B66" s="1431"/>
      <c r="C66" s="1431"/>
      <c r="D66" s="1431"/>
      <c r="E66" s="1431"/>
      <c r="F66" s="1431"/>
      <c r="G66" s="1431"/>
      <c r="H66" s="1431"/>
      <c r="I66" s="1431"/>
      <c r="J66" s="1432"/>
      <c r="K66" s="1433"/>
      <c r="L66" s="1434"/>
      <c r="M66" s="1434"/>
      <c r="N66" s="523"/>
      <c r="O66" s="524">
        <f>Лист1!A1*28200</f>
        <v>31020.000000000004</v>
      </c>
      <c r="P66" s="525">
        <f>Лист1!A1*29900</f>
        <v>32890</v>
      </c>
      <c r="Q66" s="525">
        <f>Лист1!A1*33900</f>
        <v>37290</v>
      </c>
      <c r="R66" s="1087">
        <f>Лист1!A1*38850</f>
        <v>42735</v>
      </c>
      <c r="S66" s="1087">
        <f>Лист1!A1*57750</f>
        <v>63525.00000000001</v>
      </c>
      <c r="T66" s="526" t="s">
        <v>455</v>
      </c>
      <c r="U66" s="527" t="s">
        <v>455</v>
      </c>
    </row>
    <row r="67" spans="1:21" s="463" customFormat="1" ht="22.5" customHeight="1">
      <c r="A67" s="1430" t="s">
        <v>456</v>
      </c>
      <c r="B67" s="1431"/>
      <c r="C67" s="1431"/>
      <c r="D67" s="1431"/>
      <c r="E67" s="1431"/>
      <c r="F67" s="1431"/>
      <c r="G67" s="1431"/>
      <c r="H67" s="1431"/>
      <c r="I67" s="1431"/>
      <c r="J67" s="1432"/>
      <c r="K67" s="1433"/>
      <c r="L67" s="1434"/>
      <c r="M67" s="1435"/>
      <c r="N67" s="528" t="s">
        <v>457</v>
      </c>
      <c r="O67" s="1436">
        <f>Лист1!A1*7800</f>
        <v>8580</v>
      </c>
      <c r="P67" s="1437"/>
      <c r="Q67" s="1437"/>
      <c r="R67" s="1437"/>
      <c r="S67" s="1437"/>
      <c r="T67" s="1437"/>
      <c r="U67" s="1438"/>
    </row>
    <row r="68" spans="1:21" s="463" customFormat="1" ht="15" customHeight="1">
      <c r="A68" s="1430" t="s">
        <v>458</v>
      </c>
      <c r="B68" s="1431"/>
      <c r="C68" s="1431"/>
      <c r="D68" s="1431"/>
      <c r="E68" s="1431"/>
      <c r="F68" s="1431"/>
      <c r="G68" s="1431"/>
      <c r="H68" s="1431"/>
      <c r="I68" s="1431"/>
      <c r="J68" s="1432"/>
      <c r="K68" s="1433"/>
      <c r="L68" s="1434"/>
      <c r="M68" s="1435"/>
      <c r="N68" s="528" t="s">
        <v>459</v>
      </c>
      <c r="O68" s="1436">
        <f>Лист1!A1*7800</f>
        <v>8580</v>
      </c>
      <c r="P68" s="1437"/>
      <c r="Q68" s="1437"/>
      <c r="R68" s="1437"/>
      <c r="S68" s="1437"/>
      <c r="T68" s="1437"/>
      <c r="U68" s="1438"/>
    </row>
    <row r="69" spans="1:21" s="463" customFormat="1" ht="26.25" customHeight="1">
      <c r="A69" s="1430" t="s">
        <v>460</v>
      </c>
      <c r="B69" s="1431"/>
      <c r="C69" s="1431"/>
      <c r="D69" s="1431"/>
      <c r="E69" s="1431"/>
      <c r="F69" s="1431"/>
      <c r="G69" s="1431"/>
      <c r="H69" s="1431"/>
      <c r="I69" s="1431"/>
      <c r="J69" s="1432"/>
      <c r="K69" s="1433"/>
      <c r="L69" s="1434"/>
      <c r="M69" s="1435"/>
      <c r="N69" s="528" t="s">
        <v>461</v>
      </c>
      <c r="O69" s="1436">
        <f>Лист1!A1*13800</f>
        <v>15180.000000000002</v>
      </c>
      <c r="P69" s="1437"/>
      <c r="Q69" s="1437"/>
      <c r="R69" s="1437"/>
      <c r="S69" s="1437"/>
      <c r="T69" s="1437"/>
      <c r="U69" s="1438"/>
    </row>
    <row r="70" spans="1:21" s="463" customFormat="1" ht="24.75" customHeight="1">
      <c r="A70" s="1430" t="s">
        <v>462</v>
      </c>
      <c r="B70" s="1431"/>
      <c r="C70" s="1431"/>
      <c r="D70" s="1431"/>
      <c r="E70" s="1431"/>
      <c r="F70" s="1431"/>
      <c r="G70" s="1431"/>
      <c r="H70" s="1431"/>
      <c r="I70" s="1431"/>
      <c r="J70" s="1432"/>
      <c r="K70" s="1433"/>
      <c r="L70" s="1434"/>
      <c r="M70" s="1435"/>
      <c r="N70" s="528" t="s">
        <v>463</v>
      </c>
      <c r="O70" s="1436">
        <f>Лист1!A1*13800</f>
        <v>15180.000000000002</v>
      </c>
      <c r="P70" s="1437"/>
      <c r="Q70" s="1437"/>
      <c r="R70" s="1437"/>
      <c r="S70" s="1437"/>
      <c r="T70" s="1437"/>
      <c r="U70" s="1438"/>
    </row>
    <row r="71" spans="1:21" s="463" customFormat="1" ht="36.75" customHeight="1">
      <c r="A71" s="1430" t="s">
        <v>464</v>
      </c>
      <c r="B71" s="1431"/>
      <c r="C71" s="1431"/>
      <c r="D71" s="1431"/>
      <c r="E71" s="1431"/>
      <c r="F71" s="1431"/>
      <c r="G71" s="1431"/>
      <c r="H71" s="1431"/>
      <c r="I71" s="1431"/>
      <c r="J71" s="1432"/>
      <c r="K71" s="1433"/>
      <c r="L71" s="1434"/>
      <c r="M71" s="1435"/>
      <c r="N71" s="528" t="s">
        <v>465</v>
      </c>
      <c r="O71" s="1436">
        <f>Лист1!A1*15500</f>
        <v>17050</v>
      </c>
      <c r="P71" s="1437"/>
      <c r="Q71" s="1437"/>
      <c r="R71" s="1437"/>
      <c r="S71" s="1437"/>
      <c r="T71" s="1437"/>
      <c r="U71" s="1438"/>
    </row>
    <row r="72" spans="1:26" ht="24.75" customHeight="1">
      <c r="A72" s="1430" t="s">
        <v>466</v>
      </c>
      <c r="B72" s="1431"/>
      <c r="C72" s="1431"/>
      <c r="D72" s="1431"/>
      <c r="E72" s="1431"/>
      <c r="F72" s="1431"/>
      <c r="G72" s="1431"/>
      <c r="H72" s="1431"/>
      <c r="I72" s="1431"/>
      <c r="J72" s="1432"/>
      <c r="K72" s="1433"/>
      <c r="L72" s="1434"/>
      <c r="M72" s="1435"/>
      <c r="N72" s="528" t="s">
        <v>467</v>
      </c>
      <c r="O72" s="1436">
        <f>Лист1!A1*20000</f>
        <v>22000</v>
      </c>
      <c r="P72" s="1437"/>
      <c r="Q72" s="1437"/>
      <c r="R72" s="1437"/>
      <c r="S72" s="1437"/>
      <c r="T72" s="1437"/>
      <c r="U72" s="1438"/>
      <c r="V72" s="463"/>
      <c r="W72" s="463"/>
      <c r="X72" s="463"/>
      <c r="Y72" s="463"/>
      <c r="Z72" s="463"/>
    </row>
    <row r="73" spans="1:26" ht="27.75" customHeight="1" thickBot="1">
      <c r="A73" s="1430" t="s">
        <v>468</v>
      </c>
      <c r="B73" s="1431"/>
      <c r="C73" s="1431"/>
      <c r="D73" s="1431"/>
      <c r="E73" s="1431"/>
      <c r="F73" s="1431"/>
      <c r="G73" s="1431"/>
      <c r="H73" s="1431"/>
      <c r="I73" s="1431"/>
      <c r="J73" s="1432"/>
      <c r="K73" s="1433"/>
      <c r="L73" s="1434"/>
      <c r="M73" s="1435"/>
      <c r="N73" s="528" t="s">
        <v>469</v>
      </c>
      <c r="O73" s="1439">
        <f>Лист1!A1*20000</f>
        <v>22000</v>
      </c>
      <c r="P73" s="1440"/>
      <c r="Q73" s="1440"/>
      <c r="R73" s="1440"/>
      <c r="S73" s="1440"/>
      <c r="T73" s="1440"/>
      <c r="U73" s="1441"/>
      <c r="V73" s="463"/>
      <c r="W73" s="463"/>
      <c r="X73" s="463"/>
      <c r="Y73" s="463"/>
      <c r="Z73" s="463"/>
    </row>
    <row r="74" spans="1:26" ht="6" customHeight="1">
      <c r="A74" s="529"/>
      <c r="B74" s="529"/>
      <c r="C74" s="529"/>
      <c r="D74" s="529"/>
      <c r="E74" s="529"/>
      <c r="F74" s="529"/>
      <c r="G74" s="529"/>
      <c r="H74" s="529"/>
      <c r="I74" s="529"/>
      <c r="J74" s="529"/>
      <c r="K74" s="529"/>
      <c r="L74" s="529"/>
      <c r="M74" s="529"/>
      <c r="N74" s="529"/>
      <c r="O74" s="529"/>
      <c r="P74" s="529"/>
      <c r="Q74" s="529"/>
      <c r="R74" s="530"/>
      <c r="S74" s="530"/>
      <c r="T74" s="530"/>
      <c r="U74" s="531"/>
      <c r="V74" s="463"/>
      <c r="W74" s="463"/>
      <c r="X74" s="463"/>
      <c r="Y74" s="463"/>
      <c r="Z74" s="463"/>
    </row>
    <row r="75" spans="1:20" ht="15">
      <c r="A75" s="465"/>
      <c r="B75" s="532"/>
      <c r="C75" s="532"/>
      <c r="D75" s="532"/>
      <c r="E75" s="465"/>
      <c r="F75" s="465"/>
      <c r="G75" s="465"/>
      <c r="H75" s="465"/>
      <c r="I75" s="465"/>
      <c r="J75" s="465"/>
      <c r="K75" s="465"/>
      <c r="L75" s="465"/>
      <c r="M75" s="465"/>
      <c r="N75" s="465"/>
      <c r="O75" s="532"/>
      <c r="P75" s="532"/>
      <c r="Q75" s="532"/>
      <c r="R75" s="533"/>
      <c r="S75" s="533"/>
      <c r="T75" s="533"/>
    </row>
    <row r="76" spans="1:20" ht="15">
      <c r="A76" s="465"/>
      <c r="B76" s="532"/>
      <c r="C76" s="532"/>
      <c r="D76" s="532"/>
      <c r="E76" s="465"/>
      <c r="F76" s="465"/>
      <c r="G76" s="465"/>
      <c r="H76" s="465"/>
      <c r="I76" s="465"/>
      <c r="J76" s="534"/>
      <c r="K76" s="465"/>
      <c r="L76" s="465"/>
      <c r="M76" s="465"/>
      <c r="N76" s="465"/>
      <c r="O76" s="532"/>
      <c r="P76" s="532"/>
      <c r="Q76" s="532"/>
      <c r="R76" s="533"/>
      <c r="S76" s="533"/>
      <c r="T76" s="533"/>
    </row>
    <row r="77" spans="1:20" ht="15">
      <c r="A77" s="465"/>
      <c r="B77" s="532"/>
      <c r="C77" s="532"/>
      <c r="D77" s="532"/>
      <c r="E77" s="465"/>
      <c r="F77" s="465"/>
      <c r="G77" s="465"/>
      <c r="H77" s="465"/>
      <c r="I77" s="465"/>
      <c r="J77" s="465"/>
      <c r="K77" s="465"/>
      <c r="L77" s="465"/>
      <c r="M77" s="465"/>
      <c r="N77" s="465"/>
      <c r="O77" s="532"/>
      <c r="P77" s="532"/>
      <c r="Q77" s="532"/>
      <c r="R77" s="533"/>
      <c r="S77" s="533"/>
      <c r="T77" s="533"/>
    </row>
    <row r="78" spans="1:20" ht="15">
      <c r="A78" s="465"/>
      <c r="B78" s="532"/>
      <c r="C78" s="532"/>
      <c r="D78" s="532"/>
      <c r="E78" s="465"/>
      <c r="F78" s="465"/>
      <c r="G78" s="465"/>
      <c r="H78" s="465"/>
      <c r="I78" s="465"/>
      <c r="J78" s="465"/>
      <c r="K78" s="465"/>
      <c r="L78" s="465"/>
      <c r="M78" s="465"/>
      <c r="N78" s="465"/>
      <c r="O78" s="532"/>
      <c r="P78" s="532"/>
      <c r="Q78" s="532"/>
      <c r="R78" s="533"/>
      <c r="S78" s="533"/>
      <c r="T78" s="533"/>
    </row>
    <row r="79" spans="1:20" ht="15">
      <c r="A79" s="465"/>
      <c r="B79" s="532"/>
      <c r="C79" s="532"/>
      <c r="D79" s="532"/>
      <c r="E79" s="465"/>
      <c r="F79" s="465"/>
      <c r="G79" s="465"/>
      <c r="H79" s="465"/>
      <c r="I79" s="465"/>
      <c r="J79" s="465"/>
      <c r="K79" s="465"/>
      <c r="L79" s="465"/>
      <c r="M79" s="465"/>
      <c r="N79" s="465"/>
      <c r="O79" s="532"/>
      <c r="P79" s="532"/>
      <c r="Q79" s="532"/>
      <c r="R79" s="533"/>
      <c r="S79" s="533"/>
      <c r="T79" s="533"/>
    </row>
    <row r="80" spans="1:20" ht="15">
      <c r="A80" s="465"/>
      <c r="B80" s="532"/>
      <c r="C80" s="532"/>
      <c r="D80" s="532"/>
      <c r="E80" s="465"/>
      <c r="F80" s="465"/>
      <c r="G80" s="465"/>
      <c r="H80" s="465"/>
      <c r="I80" s="465"/>
      <c r="J80" s="465"/>
      <c r="K80" s="465"/>
      <c r="L80" s="465"/>
      <c r="M80" s="465"/>
      <c r="N80" s="465"/>
      <c r="O80" s="532"/>
      <c r="P80" s="532"/>
      <c r="Q80" s="532"/>
      <c r="R80" s="533"/>
      <c r="S80" s="533"/>
      <c r="T80" s="533"/>
    </row>
    <row r="81" spans="1:20" ht="15">
      <c r="A81" s="465"/>
      <c r="B81" s="532"/>
      <c r="C81" s="532"/>
      <c r="D81" s="532"/>
      <c r="E81" s="465"/>
      <c r="F81" s="465"/>
      <c r="G81" s="465"/>
      <c r="H81" s="465"/>
      <c r="I81" s="465"/>
      <c r="J81" s="465"/>
      <c r="K81" s="465"/>
      <c r="L81" s="465"/>
      <c r="M81" s="465"/>
      <c r="N81" s="465"/>
      <c r="O81" s="532"/>
      <c r="P81" s="532"/>
      <c r="Q81" s="532"/>
      <c r="R81" s="533"/>
      <c r="S81" s="533"/>
      <c r="T81" s="533"/>
    </row>
    <row r="82" spans="1:20" ht="15">
      <c r="A82" s="465"/>
      <c r="B82" s="532"/>
      <c r="C82" s="532"/>
      <c r="D82" s="532"/>
      <c r="E82" s="465"/>
      <c r="F82" s="465"/>
      <c r="G82" s="465"/>
      <c r="H82" s="465"/>
      <c r="I82" s="465"/>
      <c r="J82" s="465"/>
      <c r="K82" s="465"/>
      <c r="L82" s="465"/>
      <c r="M82" s="465"/>
      <c r="N82" s="465"/>
      <c r="O82" s="532"/>
      <c r="P82" s="532"/>
      <c r="Q82" s="532"/>
      <c r="R82" s="533"/>
      <c r="S82" s="533"/>
      <c r="T82" s="533"/>
    </row>
    <row r="83" spans="1:20" ht="15">
      <c r="A83" s="465"/>
      <c r="B83" s="532"/>
      <c r="C83" s="532"/>
      <c r="D83" s="532"/>
      <c r="E83" s="465"/>
      <c r="F83" s="465"/>
      <c r="G83" s="465"/>
      <c r="H83" s="465"/>
      <c r="I83" s="465"/>
      <c r="J83" s="465"/>
      <c r="K83" s="465"/>
      <c r="L83" s="465"/>
      <c r="M83" s="465"/>
      <c r="N83" s="465"/>
      <c r="O83" s="532"/>
      <c r="P83" s="532"/>
      <c r="Q83" s="532"/>
      <c r="R83" s="533"/>
      <c r="S83" s="533"/>
      <c r="T83" s="533"/>
    </row>
    <row r="84" spans="1:20" ht="15">
      <c r="A84" s="465"/>
      <c r="B84" s="532"/>
      <c r="C84" s="532"/>
      <c r="D84" s="532"/>
      <c r="E84" s="465"/>
      <c r="F84" s="465"/>
      <c r="G84" s="465"/>
      <c r="H84" s="465"/>
      <c r="I84" s="465"/>
      <c r="J84" s="465"/>
      <c r="K84" s="465"/>
      <c r="L84" s="465"/>
      <c r="M84" s="465"/>
      <c r="N84" s="465"/>
      <c r="O84" s="532"/>
      <c r="P84" s="532"/>
      <c r="Q84" s="532"/>
      <c r="R84" s="533"/>
      <c r="S84" s="533"/>
      <c r="T84" s="533"/>
    </row>
    <row r="85" spans="1:20" ht="15">
      <c r="A85" s="465"/>
      <c r="B85" s="532"/>
      <c r="C85" s="532"/>
      <c r="D85" s="532"/>
      <c r="E85" s="465"/>
      <c r="F85" s="465"/>
      <c r="G85" s="465"/>
      <c r="H85" s="465"/>
      <c r="I85" s="465"/>
      <c r="J85" s="465"/>
      <c r="K85" s="465"/>
      <c r="L85" s="465"/>
      <c r="M85" s="465"/>
      <c r="N85" s="465"/>
      <c r="O85" s="532"/>
      <c r="P85" s="532"/>
      <c r="Q85" s="532"/>
      <c r="R85" s="533"/>
      <c r="S85" s="533"/>
      <c r="T85" s="533"/>
    </row>
    <row r="86" spans="1:20" ht="15">
      <c r="A86" s="465"/>
      <c r="B86" s="532"/>
      <c r="C86" s="532"/>
      <c r="D86" s="532"/>
      <c r="E86" s="465"/>
      <c r="F86" s="465"/>
      <c r="G86" s="465"/>
      <c r="H86" s="465"/>
      <c r="I86" s="465"/>
      <c r="J86" s="465"/>
      <c r="K86" s="465"/>
      <c r="L86" s="465"/>
      <c r="M86" s="465"/>
      <c r="N86" s="465"/>
      <c r="O86" s="532"/>
      <c r="P86" s="532"/>
      <c r="Q86" s="532"/>
      <c r="R86" s="533"/>
      <c r="S86" s="533"/>
      <c r="T86" s="533"/>
    </row>
    <row r="87" spans="1:20" ht="15">
      <c r="A87" s="465"/>
      <c r="B87" s="532"/>
      <c r="C87" s="532"/>
      <c r="D87" s="532"/>
      <c r="E87" s="465"/>
      <c r="F87" s="465"/>
      <c r="G87" s="465"/>
      <c r="H87" s="465"/>
      <c r="I87" s="465"/>
      <c r="J87" s="465"/>
      <c r="K87" s="465"/>
      <c r="L87" s="465"/>
      <c r="M87" s="465"/>
      <c r="N87" s="465"/>
      <c r="O87" s="532"/>
      <c r="P87" s="532"/>
      <c r="Q87" s="532"/>
      <c r="R87" s="533"/>
      <c r="S87" s="533"/>
      <c r="T87" s="533"/>
    </row>
    <row r="88" spans="1:20" ht="15">
      <c r="A88" s="465"/>
      <c r="B88" s="532"/>
      <c r="C88" s="532"/>
      <c r="D88" s="532"/>
      <c r="E88" s="465"/>
      <c r="F88" s="465"/>
      <c r="G88" s="465"/>
      <c r="H88" s="465"/>
      <c r="I88" s="465"/>
      <c r="J88" s="465"/>
      <c r="K88" s="465"/>
      <c r="L88" s="465"/>
      <c r="M88" s="465"/>
      <c r="N88" s="465"/>
      <c r="O88" s="532"/>
      <c r="P88" s="532"/>
      <c r="Q88" s="532"/>
      <c r="R88" s="533"/>
      <c r="S88" s="533"/>
      <c r="T88" s="533"/>
    </row>
    <row r="89" spans="1:20" ht="15">
      <c r="A89" s="465"/>
      <c r="B89" s="532"/>
      <c r="C89" s="532"/>
      <c r="D89" s="532"/>
      <c r="E89" s="465"/>
      <c r="F89" s="465"/>
      <c r="G89" s="465"/>
      <c r="H89" s="465"/>
      <c r="I89" s="465"/>
      <c r="J89" s="465"/>
      <c r="K89" s="465"/>
      <c r="L89" s="465"/>
      <c r="M89" s="465"/>
      <c r="N89" s="465"/>
      <c r="O89" s="532"/>
      <c r="P89" s="532"/>
      <c r="Q89" s="532"/>
      <c r="R89" s="533"/>
      <c r="S89" s="533"/>
      <c r="T89" s="533"/>
    </row>
    <row r="90" spans="1:20" ht="15">
      <c r="A90" s="465"/>
      <c r="B90" s="532"/>
      <c r="C90" s="532"/>
      <c r="D90" s="532"/>
      <c r="E90" s="465"/>
      <c r="F90" s="465"/>
      <c r="G90" s="465"/>
      <c r="H90" s="465"/>
      <c r="I90" s="465"/>
      <c r="J90" s="465"/>
      <c r="K90" s="465"/>
      <c r="L90" s="465"/>
      <c r="M90" s="465"/>
      <c r="N90" s="465"/>
      <c r="O90" s="532"/>
      <c r="P90" s="532"/>
      <c r="Q90" s="532"/>
      <c r="R90" s="533"/>
      <c r="S90" s="533"/>
      <c r="T90" s="533"/>
    </row>
    <row r="91" spans="1:20" ht="15">
      <c r="A91" s="465"/>
      <c r="B91" s="532"/>
      <c r="C91" s="532"/>
      <c r="D91" s="532"/>
      <c r="E91" s="465"/>
      <c r="F91" s="465"/>
      <c r="G91" s="465"/>
      <c r="H91" s="465"/>
      <c r="I91" s="465"/>
      <c r="J91" s="465"/>
      <c r="K91" s="465"/>
      <c r="L91" s="465"/>
      <c r="M91" s="465"/>
      <c r="N91" s="465"/>
      <c r="O91" s="532"/>
      <c r="P91" s="532"/>
      <c r="Q91" s="532"/>
      <c r="R91" s="533"/>
      <c r="S91" s="533"/>
      <c r="T91" s="533"/>
    </row>
    <row r="92" spans="1:20" ht="15">
      <c r="A92" s="465"/>
      <c r="B92" s="532"/>
      <c r="C92" s="532"/>
      <c r="D92" s="532"/>
      <c r="E92" s="465"/>
      <c r="F92" s="465"/>
      <c r="G92" s="465"/>
      <c r="H92" s="465"/>
      <c r="I92" s="465"/>
      <c r="J92" s="465"/>
      <c r="K92" s="465"/>
      <c r="L92" s="465"/>
      <c r="M92" s="465"/>
      <c r="N92" s="465"/>
      <c r="O92" s="532"/>
      <c r="P92" s="532"/>
      <c r="Q92" s="532"/>
      <c r="R92" s="533"/>
      <c r="S92" s="533"/>
      <c r="T92" s="533"/>
    </row>
    <row r="93" spans="1:20" ht="15">
      <c r="A93" s="465"/>
      <c r="B93" s="532"/>
      <c r="C93" s="532"/>
      <c r="D93" s="532"/>
      <c r="E93" s="465"/>
      <c r="F93" s="465"/>
      <c r="G93" s="465"/>
      <c r="H93" s="465"/>
      <c r="I93" s="465"/>
      <c r="J93" s="465"/>
      <c r="K93" s="465"/>
      <c r="L93" s="465"/>
      <c r="M93" s="465"/>
      <c r="N93" s="465"/>
      <c r="O93" s="532"/>
      <c r="P93" s="532"/>
      <c r="Q93" s="532"/>
      <c r="R93" s="533"/>
      <c r="S93" s="533"/>
      <c r="T93" s="533"/>
    </row>
    <row r="94" spans="1:20" ht="15">
      <c r="A94" s="465"/>
      <c r="B94" s="532"/>
      <c r="C94" s="532"/>
      <c r="D94" s="532"/>
      <c r="E94" s="465"/>
      <c r="F94" s="465"/>
      <c r="G94" s="465"/>
      <c r="H94" s="465"/>
      <c r="I94" s="465"/>
      <c r="J94" s="465"/>
      <c r="K94" s="465"/>
      <c r="L94" s="465"/>
      <c r="M94" s="465"/>
      <c r="N94" s="465"/>
      <c r="O94" s="532"/>
      <c r="P94" s="532"/>
      <c r="Q94" s="532"/>
      <c r="R94" s="533"/>
      <c r="S94" s="533"/>
      <c r="T94" s="533"/>
    </row>
    <row r="95" spans="1:20" ht="15">
      <c r="A95" s="465"/>
      <c r="B95" s="532"/>
      <c r="C95" s="532"/>
      <c r="D95" s="532"/>
      <c r="E95" s="465"/>
      <c r="F95" s="465"/>
      <c r="G95" s="465"/>
      <c r="H95" s="465"/>
      <c r="I95" s="465"/>
      <c r="J95" s="465"/>
      <c r="K95" s="465"/>
      <c r="L95" s="465"/>
      <c r="M95" s="465"/>
      <c r="N95" s="465"/>
      <c r="O95" s="532"/>
      <c r="P95" s="532"/>
      <c r="Q95" s="532"/>
      <c r="R95" s="533"/>
      <c r="S95" s="533"/>
      <c r="T95" s="533"/>
    </row>
    <row r="96" spans="1:20" ht="15">
      <c r="A96" s="465"/>
      <c r="B96" s="532"/>
      <c r="C96" s="532"/>
      <c r="D96" s="532"/>
      <c r="E96" s="465"/>
      <c r="F96" s="465"/>
      <c r="G96" s="465"/>
      <c r="H96" s="465"/>
      <c r="I96" s="465"/>
      <c r="J96" s="465"/>
      <c r="K96" s="465"/>
      <c r="L96" s="465"/>
      <c r="M96" s="465"/>
      <c r="N96" s="465"/>
      <c r="O96" s="532"/>
      <c r="P96" s="532"/>
      <c r="Q96" s="532"/>
      <c r="R96" s="533"/>
      <c r="S96" s="533"/>
      <c r="T96" s="533"/>
    </row>
    <row r="97" spans="1:20" ht="15">
      <c r="A97" s="465"/>
      <c r="B97" s="532"/>
      <c r="C97" s="532"/>
      <c r="D97" s="532"/>
      <c r="E97" s="465"/>
      <c r="F97" s="465"/>
      <c r="G97" s="465"/>
      <c r="H97" s="465"/>
      <c r="I97" s="465"/>
      <c r="J97" s="465"/>
      <c r="K97" s="465"/>
      <c r="L97" s="465"/>
      <c r="M97" s="465"/>
      <c r="N97" s="465"/>
      <c r="O97" s="532"/>
      <c r="P97" s="532"/>
      <c r="Q97" s="532"/>
      <c r="R97" s="533"/>
      <c r="S97" s="533"/>
      <c r="T97" s="533"/>
    </row>
    <row r="98" spans="1:20" ht="15">
      <c r="A98" s="465"/>
      <c r="B98" s="532"/>
      <c r="C98" s="532"/>
      <c r="D98" s="532"/>
      <c r="E98" s="465"/>
      <c r="F98" s="465"/>
      <c r="G98" s="465"/>
      <c r="H98" s="465"/>
      <c r="I98" s="465"/>
      <c r="J98" s="465"/>
      <c r="K98" s="465"/>
      <c r="L98" s="465"/>
      <c r="M98" s="465"/>
      <c r="N98" s="465"/>
      <c r="O98" s="532"/>
      <c r="P98" s="532"/>
      <c r="Q98" s="532"/>
      <c r="R98" s="533"/>
      <c r="S98" s="533"/>
      <c r="T98" s="533"/>
    </row>
    <row r="99" spans="1:20" ht="15">
      <c r="A99" s="465"/>
      <c r="B99" s="532"/>
      <c r="C99" s="532"/>
      <c r="D99" s="532"/>
      <c r="E99" s="465"/>
      <c r="F99" s="465"/>
      <c r="G99" s="465"/>
      <c r="H99" s="465"/>
      <c r="I99" s="465"/>
      <c r="J99" s="465"/>
      <c r="K99" s="465"/>
      <c r="L99" s="465"/>
      <c r="M99" s="465"/>
      <c r="N99" s="465"/>
      <c r="O99" s="532"/>
      <c r="P99" s="532"/>
      <c r="Q99" s="532"/>
      <c r="R99" s="533"/>
      <c r="S99" s="533"/>
      <c r="T99" s="533"/>
    </row>
    <row r="100" spans="1:20" ht="15">
      <c r="A100" s="465"/>
      <c r="B100" s="532"/>
      <c r="C100" s="532"/>
      <c r="D100" s="532"/>
      <c r="E100" s="465"/>
      <c r="F100" s="465"/>
      <c r="G100" s="465"/>
      <c r="H100" s="465"/>
      <c r="I100" s="465"/>
      <c r="J100" s="465"/>
      <c r="K100" s="465"/>
      <c r="L100" s="465"/>
      <c r="M100" s="465"/>
      <c r="N100" s="465"/>
      <c r="O100" s="532"/>
      <c r="P100" s="532"/>
      <c r="Q100" s="532"/>
      <c r="R100" s="533"/>
      <c r="S100" s="533"/>
      <c r="T100" s="533"/>
    </row>
    <row r="101" spans="1:20" ht="15">
      <c r="A101" s="465"/>
      <c r="B101" s="532"/>
      <c r="C101" s="532"/>
      <c r="D101" s="532"/>
      <c r="E101" s="465"/>
      <c r="F101" s="465"/>
      <c r="G101" s="465"/>
      <c r="H101" s="465"/>
      <c r="I101" s="465"/>
      <c r="J101" s="465"/>
      <c r="K101" s="465"/>
      <c r="L101" s="465"/>
      <c r="M101" s="465"/>
      <c r="N101" s="465"/>
      <c r="O101" s="532"/>
      <c r="P101" s="532"/>
      <c r="Q101" s="532"/>
      <c r="R101" s="533"/>
      <c r="S101" s="533"/>
      <c r="T101" s="533"/>
    </row>
    <row r="102" spans="1:20" ht="15">
      <c r="A102" s="465"/>
      <c r="B102" s="532"/>
      <c r="C102" s="532"/>
      <c r="D102" s="532"/>
      <c r="E102" s="465"/>
      <c r="F102" s="465"/>
      <c r="G102" s="465"/>
      <c r="H102" s="465"/>
      <c r="I102" s="465"/>
      <c r="J102" s="465"/>
      <c r="K102" s="465"/>
      <c r="L102" s="465"/>
      <c r="M102" s="465"/>
      <c r="N102" s="465"/>
      <c r="O102" s="532"/>
      <c r="P102" s="532"/>
      <c r="Q102" s="532"/>
      <c r="R102" s="533"/>
      <c r="S102" s="533"/>
      <c r="T102" s="533"/>
    </row>
    <row r="103" spans="1:20" ht="15">
      <c r="A103" s="465"/>
      <c r="B103" s="532"/>
      <c r="C103" s="532"/>
      <c r="D103" s="532"/>
      <c r="E103" s="465"/>
      <c r="F103" s="465"/>
      <c r="G103" s="465"/>
      <c r="H103" s="465"/>
      <c r="I103" s="465"/>
      <c r="J103" s="465"/>
      <c r="K103" s="465"/>
      <c r="L103" s="465"/>
      <c r="M103" s="465"/>
      <c r="N103" s="465"/>
      <c r="O103" s="532"/>
      <c r="P103" s="532"/>
      <c r="Q103" s="532"/>
      <c r="R103" s="533"/>
      <c r="S103" s="533"/>
      <c r="T103" s="533"/>
    </row>
    <row r="104" spans="1:20" ht="15">
      <c r="A104" s="465"/>
      <c r="B104" s="532"/>
      <c r="C104" s="532"/>
      <c r="D104" s="532"/>
      <c r="E104" s="465"/>
      <c r="F104" s="465"/>
      <c r="G104" s="465"/>
      <c r="H104" s="465"/>
      <c r="I104" s="465"/>
      <c r="J104" s="465"/>
      <c r="K104" s="465"/>
      <c r="L104" s="465"/>
      <c r="M104" s="465"/>
      <c r="N104" s="465"/>
      <c r="O104" s="532"/>
      <c r="P104" s="532"/>
      <c r="Q104" s="532"/>
      <c r="R104" s="533"/>
      <c r="S104" s="533"/>
      <c r="T104" s="533"/>
    </row>
    <row r="105" spans="1:20" ht="15">
      <c r="A105" s="465"/>
      <c r="B105" s="532"/>
      <c r="C105" s="532"/>
      <c r="D105" s="532"/>
      <c r="E105" s="465"/>
      <c r="F105" s="465"/>
      <c r="G105" s="465"/>
      <c r="H105" s="465"/>
      <c r="I105" s="465"/>
      <c r="J105" s="465"/>
      <c r="K105" s="465"/>
      <c r="L105" s="465"/>
      <c r="M105" s="465"/>
      <c r="N105" s="465"/>
      <c r="O105" s="532"/>
      <c r="P105" s="532"/>
      <c r="Q105" s="532"/>
      <c r="R105" s="533"/>
      <c r="S105" s="533"/>
      <c r="T105" s="533"/>
    </row>
    <row r="106" spans="1:20" ht="15">
      <c r="A106" s="465"/>
      <c r="B106" s="532"/>
      <c r="C106" s="532"/>
      <c r="D106" s="532"/>
      <c r="E106" s="465"/>
      <c r="F106" s="465"/>
      <c r="G106" s="465"/>
      <c r="H106" s="465"/>
      <c r="I106" s="465"/>
      <c r="J106" s="465"/>
      <c r="K106" s="465"/>
      <c r="L106" s="465"/>
      <c r="M106" s="465"/>
      <c r="N106" s="465"/>
      <c r="O106" s="532"/>
      <c r="P106" s="532"/>
      <c r="Q106" s="532"/>
      <c r="R106" s="533"/>
      <c r="S106" s="533"/>
      <c r="T106" s="533"/>
    </row>
    <row r="107" spans="1:20" ht="15">
      <c r="A107" s="465"/>
      <c r="B107" s="532"/>
      <c r="C107" s="532"/>
      <c r="D107" s="532"/>
      <c r="E107" s="465"/>
      <c r="F107" s="465"/>
      <c r="G107" s="465"/>
      <c r="H107" s="465"/>
      <c r="I107" s="465"/>
      <c r="J107" s="465"/>
      <c r="K107" s="465"/>
      <c r="L107" s="465"/>
      <c r="M107" s="465"/>
      <c r="N107" s="465"/>
      <c r="O107" s="532"/>
      <c r="P107" s="532"/>
      <c r="Q107" s="532"/>
      <c r="R107" s="533"/>
      <c r="S107" s="533"/>
      <c r="T107" s="533"/>
    </row>
    <row r="108" spans="1:20" ht="15">
      <c r="A108" s="465"/>
      <c r="B108" s="532"/>
      <c r="C108" s="532"/>
      <c r="D108" s="532"/>
      <c r="E108" s="465"/>
      <c r="F108" s="465"/>
      <c r="G108" s="465"/>
      <c r="H108" s="465"/>
      <c r="I108" s="465"/>
      <c r="J108" s="465"/>
      <c r="K108" s="465"/>
      <c r="L108" s="465"/>
      <c r="M108" s="465"/>
      <c r="N108" s="465"/>
      <c r="O108" s="532"/>
      <c r="P108" s="532"/>
      <c r="Q108" s="532"/>
      <c r="R108" s="533"/>
      <c r="S108" s="533"/>
      <c r="T108" s="533"/>
    </row>
    <row r="109" spans="1:20" ht="15">
      <c r="A109" s="465"/>
      <c r="B109" s="532"/>
      <c r="C109" s="532"/>
      <c r="D109" s="532"/>
      <c r="E109" s="465"/>
      <c r="F109" s="465"/>
      <c r="G109" s="465"/>
      <c r="H109" s="465"/>
      <c r="I109" s="465"/>
      <c r="J109" s="465"/>
      <c r="K109" s="465"/>
      <c r="L109" s="465"/>
      <c r="M109" s="465"/>
      <c r="N109" s="465"/>
      <c r="O109" s="532"/>
      <c r="P109" s="532"/>
      <c r="Q109" s="532"/>
      <c r="R109" s="533"/>
      <c r="S109" s="533"/>
      <c r="T109" s="533"/>
    </row>
    <row r="110" spans="1:20" ht="15">
      <c r="A110" s="465"/>
      <c r="B110" s="532"/>
      <c r="C110" s="532"/>
      <c r="D110" s="532"/>
      <c r="E110" s="465"/>
      <c r="F110" s="465"/>
      <c r="G110" s="465"/>
      <c r="H110" s="465"/>
      <c r="I110" s="465"/>
      <c r="J110" s="465"/>
      <c r="K110" s="465"/>
      <c r="L110" s="465"/>
      <c r="M110" s="465"/>
      <c r="N110" s="465"/>
      <c r="O110" s="532"/>
      <c r="P110" s="532"/>
      <c r="Q110" s="532"/>
      <c r="R110" s="533"/>
      <c r="S110" s="533"/>
      <c r="T110" s="533"/>
    </row>
    <row r="111" spans="1:20" ht="15">
      <c r="A111" s="465"/>
      <c r="B111" s="532"/>
      <c r="C111" s="532"/>
      <c r="D111" s="532"/>
      <c r="E111" s="465"/>
      <c r="F111" s="465"/>
      <c r="G111" s="465"/>
      <c r="H111" s="465"/>
      <c r="I111" s="465"/>
      <c r="J111" s="465"/>
      <c r="K111" s="465"/>
      <c r="L111" s="465"/>
      <c r="M111" s="465"/>
      <c r="N111" s="465"/>
      <c r="O111" s="532"/>
      <c r="P111" s="532"/>
      <c r="Q111" s="532"/>
      <c r="R111" s="533"/>
      <c r="S111" s="533"/>
      <c r="T111" s="533"/>
    </row>
    <row r="112" spans="1:20" ht="15">
      <c r="A112" s="465"/>
      <c r="B112" s="532"/>
      <c r="C112" s="532"/>
      <c r="D112" s="532"/>
      <c r="E112" s="465"/>
      <c r="F112" s="465"/>
      <c r="G112" s="465"/>
      <c r="H112" s="465"/>
      <c r="I112" s="465"/>
      <c r="J112" s="465"/>
      <c r="K112" s="465"/>
      <c r="L112" s="465"/>
      <c r="M112" s="465"/>
      <c r="N112" s="465"/>
      <c r="O112" s="532"/>
      <c r="P112" s="532"/>
      <c r="Q112" s="532"/>
      <c r="R112" s="533"/>
      <c r="S112" s="533"/>
      <c r="T112" s="533"/>
    </row>
    <row r="113" spans="1:20" ht="15">
      <c r="A113" s="465"/>
      <c r="B113" s="532"/>
      <c r="C113" s="532"/>
      <c r="D113" s="532"/>
      <c r="E113" s="465"/>
      <c r="F113" s="465"/>
      <c r="G113" s="465"/>
      <c r="H113" s="465"/>
      <c r="I113" s="465"/>
      <c r="J113" s="465"/>
      <c r="K113" s="465"/>
      <c r="L113" s="465"/>
      <c r="M113" s="465"/>
      <c r="N113" s="465"/>
      <c r="O113" s="532"/>
      <c r="P113" s="532"/>
      <c r="Q113" s="532"/>
      <c r="R113" s="533"/>
      <c r="S113" s="533"/>
      <c r="T113" s="533"/>
    </row>
    <row r="114" spans="1:20" ht="15">
      <c r="A114" s="465"/>
      <c r="B114" s="532"/>
      <c r="C114" s="532"/>
      <c r="D114" s="532"/>
      <c r="E114" s="465"/>
      <c r="F114" s="465"/>
      <c r="G114" s="465"/>
      <c r="H114" s="465"/>
      <c r="I114" s="465"/>
      <c r="J114" s="465"/>
      <c r="K114" s="465"/>
      <c r="L114" s="465"/>
      <c r="M114" s="465"/>
      <c r="N114" s="465"/>
      <c r="O114" s="532"/>
      <c r="P114" s="532"/>
      <c r="Q114" s="532"/>
      <c r="R114" s="533"/>
      <c r="S114" s="533"/>
      <c r="T114" s="533"/>
    </row>
    <row r="115" spans="1:20" ht="15">
      <c r="A115" s="465"/>
      <c r="B115" s="532"/>
      <c r="C115" s="532"/>
      <c r="D115" s="532"/>
      <c r="E115" s="465"/>
      <c r="F115" s="465"/>
      <c r="G115" s="465"/>
      <c r="H115" s="465"/>
      <c r="I115" s="465"/>
      <c r="J115" s="465"/>
      <c r="K115" s="465"/>
      <c r="L115" s="465"/>
      <c r="M115" s="465"/>
      <c r="N115" s="465"/>
      <c r="O115" s="532"/>
      <c r="P115" s="532"/>
      <c r="Q115" s="532"/>
      <c r="R115" s="533"/>
      <c r="S115" s="533"/>
      <c r="T115" s="533"/>
    </row>
    <row r="116" spans="1:20" ht="15">
      <c r="A116" s="465"/>
      <c r="B116" s="532"/>
      <c r="C116" s="532"/>
      <c r="D116" s="532"/>
      <c r="E116" s="465"/>
      <c r="F116" s="465"/>
      <c r="G116" s="465"/>
      <c r="H116" s="465"/>
      <c r="I116" s="465"/>
      <c r="J116" s="465"/>
      <c r="K116" s="465"/>
      <c r="L116" s="465"/>
      <c r="M116" s="465"/>
      <c r="N116" s="465"/>
      <c r="O116" s="532"/>
      <c r="P116" s="532"/>
      <c r="Q116" s="532"/>
      <c r="R116" s="533"/>
      <c r="S116" s="533"/>
      <c r="T116" s="533"/>
    </row>
    <row r="117" spans="1:20" ht="15">
      <c r="A117" s="465"/>
      <c r="B117" s="532"/>
      <c r="C117" s="532"/>
      <c r="D117" s="532"/>
      <c r="E117" s="465"/>
      <c r="F117" s="465"/>
      <c r="G117" s="465"/>
      <c r="H117" s="465"/>
      <c r="I117" s="465"/>
      <c r="J117" s="465"/>
      <c r="K117" s="465"/>
      <c r="L117" s="465"/>
      <c r="M117" s="465"/>
      <c r="N117" s="465"/>
      <c r="O117" s="532"/>
      <c r="P117" s="532"/>
      <c r="Q117" s="532"/>
      <c r="R117" s="533"/>
      <c r="S117" s="533"/>
      <c r="T117" s="533"/>
    </row>
    <row r="118" spans="1:20" ht="15">
      <c r="A118" s="465"/>
      <c r="B118" s="532"/>
      <c r="C118" s="532"/>
      <c r="D118" s="532"/>
      <c r="E118" s="465"/>
      <c r="F118" s="465"/>
      <c r="G118" s="465"/>
      <c r="H118" s="465"/>
      <c r="I118" s="465"/>
      <c r="J118" s="465"/>
      <c r="K118" s="465"/>
      <c r="L118" s="465"/>
      <c r="M118" s="465"/>
      <c r="N118" s="465"/>
      <c r="O118" s="532"/>
      <c r="P118" s="532"/>
      <c r="Q118" s="532"/>
      <c r="R118" s="533"/>
      <c r="S118" s="533"/>
      <c r="T118" s="533"/>
    </row>
    <row r="119" spans="1:20" ht="15">
      <c r="A119" s="465"/>
      <c r="B119" s="532"/>
      <c r="C119" s="532"/>
      <c r="D119" s="532"/>
      <c r="E119" s="465"/>
      <c r="F119" s="465"/>
      <c r="G119" s="465"/>
      <c r="H119" s="465"/>
      <c r="I119" s="465"/>
      <c r="J119" s="465"/>
      <c r="K119" s="465"/>
      <c r="L119" s="465"/>
      <c r="M119" s="465"/>
      <c r="N119" s="465"/>
      <c r="O119" s="532"/>
      <c r="P119" s="532"/>
      <c r="Q119" s="532"/>
      <c r="R119" s="533"/>
      <c r="S119" s="533"/>
      <c r="T119" s="533"/>
    </row>
    <row r="120" spans="1:20" ht="15">
      <c r="A120" s="465"/>
      <c r="B120" s="532"/>
      <c r="C120" s="532"/>
      <c r="D120" s="532"/>
      <c r="E120" s="465"/>
      <c r="F120" s="465"/>
      <c r="G120" s="465"/>
      <c r="H120" s="465"/>
      <c r="I120" s="465"/>
      <c r="J120" s="465"/>
      <c r="K120" s="465"/>
      <c r="L120" s="465"/>
      <c r="M120" s="465"/>
      <c r="N120" s="465"/>
      <c r="O120" s="532"/>
      <c r="P120" s="532"/>
      <c r="Q120" s="532"/>
      <c r="R120" s="533"/>
      <c r="S120" s="533"/>
      <c r="T120" s="533"/>
    </row>
    <row r="121" spans="1:20" ht="15">
      <c r="A121" s="465"/>
      <c r="B121" s="532"/>
      <c r="C121" s="532"/>
      <c r="D121" s="532"/>
      <c r="E121" s="465"/>
      <c r="F121" s="465"/>
      <c r="G121" s="465"/>
      <c r="H121" s="465"/>
      <c r="I121" s="465"/>
      <c r="J121" s="465"/>
      <c r="K121" s="465"/>
      <c r="L121" s="465"/>
      <c r="M121" s="465"/>
      <c r="N121" s="465"/>
      <c r="O121" s="532"/>
      <c r="P121" s="532"/>
      <c r="Q121" s="532"/>
      <c r="R121" s="533"/>
      <c r="S121" s="533"/>
      <c r="T121" s="533"/>
    </row>
    <row r="122" spans="1:20" ht="15">
      <c r="A122" s="465"/>
      <c r="B122" s="532"/>
      <c r="C122" s="532"/>
      <c r="D122" s="532"/>
      <c r="E122" s="465"/>
      <c r="F122" s="465"/>
      <c r="G122" s="465"/>
      <c r="H122" s="465"/>
      <c r="I122" s="465"/>
      <c r="J122" s="465"/>
      <c r="K122" s="465"/>
      <c r="L122" s="465"/>
      <c r="M122" s="465"/>
      <c r="N122" s="465"/>
      <c r="O122" s="532"/>
      <c r="P122" s="532"/>
      <c r="Q122" s="532"/>
      <c r="R122" s="533"/>
      <c r="S122" s="533"/>
      <c r="T122" s="533"/>
    </row>
    <row r="123" spans="1:20" ht="15">
      <c r="A123" s="465"/>
      <c r="B123" s="532"/>
      <c r="C123" s="532"/>
      <c r="D123" s="532"/>
      <c r="E123" s="465"/>
      <c r="F123" s="465"/>
      <c r="G123" s="465"/>
      <c r="H123" s="465"/>
      <c r="I123" s="465"/>
      <c r="J123" s="465"/>
      <c r="K123" s="465"/>
      <c r="L123" s="465"/>
      <c r="M123" s="465"/>
      <c r="N123" s="465"/>
      <c r="O123" s="532"/>
      <c r="P123" s="532"/>
      <c r="Q123" s="532"/>
      <c r="R123" s="533"/>
      <c r="S123" s="533"/>
      <c r="T123" s="533"/>
    </row>
    <row r="124" spans="1:20" ht="15">
      <c r="A124" s="465"/>
      <c r="B124" s="532"/>
      <c r="C124" s="532"/>
      <c r="D124" s="532"/>
      <c r="E124" s="465"/>
      <c r="F124" s="465"/>
      <c r="G124" s="465"/>
      <c r="H124" s="465"/>
      <c r="I124" s="465"/>
      <c r="J124" s="465"/>
      <c r="K124" s="465"/>
      <c r="L124" s="465"/>
      <c r="M124" s="465"/>
      <c r="N124" s="465"/>
      <c r="O124" s="532"/>
      <c r="P124" s="532"/>
      <c r="Q124" s="532"/>
      <c r="R124" s="533"/>
      <c r="S124" s="533"/>
      <c r="T124" s="533"/>
    </row>
    <row r="125" spans="1:20" ht="15">
      <c r="A125" s="465"/>
      <c r="B125" s="532"/>
      <c r="C125" s="532"/>
      <c r="D125" s="532"/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O125" s="532"/>
      <c r="P125" s="532"/>
      <c r="Q125" s="532"/>
      <c r="R125" s="533"/>
      <c r="S125" s="533"/>
      <c r="T125" s="533"/>
    </row>
    <row r="126" spans="1:20" ht="15">
      <c r="A126" s="465"/>
      <c r="B126" s="532"/>
      <c r="C126" s="532"/>
      <c r="D126" s="532"/>
      <c r="E126" s="465"/>
      <c r="F126" s="465"/>
      <c r="G126" s="465"/>
      <c r="H126" s="465"/>
      <c r="I126" s="465"/>
      <c r="J126" s="465"/>
      <c r="K126" s="465"/>
      <c r="L126" s="465"/>
      <c r="M126" s="465"/>
      <c r="N126" s="465"/>
      <c r="O126" s="532"/>
      <c r="P126" s="532"/>
      <c r="Q126" s="532"/>
      <c r="R126" s="533"/>
      <c r="S126" s="533"/>
      <c r="T126" s="533"/>
    </row>
    <row r="127" spans="1:20" ht="15">
      <c r="A127" s="465"/>
      <c r="B127" s="532"/>
      <c r="C127" s="532"/>
      <c r="D127" s="532"/>
      <c r="E127" s="465"/>
      <c r="F127" s="465"/>
      <c r="G127" s="465"/>
      <c r="H127" s="465"/>
      <c r="I127" s="465"/>
      <c r="J127" s="465"/>
      <c r="K127" s="465"/>
      <c r="L127" s="465"/>
      <c r="M127" s="465"/>
      <c r="N127" s="465"/>
      <c r="O127" s="532"/>
      <c r="P127" s="532"/>
      <c r="Q127" s="532"/>
      <c r="R127" s="533"/>
      <c r="S127" s="533"/>
      <c r="T127" s="533"/>
    </row>
    <row r="128" spans="1:20" ht="15">
      <c r="A128" s="465"/>
      <c r="B128" s="532"/>
      <c r="C128" s="532"/>
      <c r="D128" s="532"/>
      <c r="E128" s="465"/>
      <c r="F128" s="465"/>
      <c r="G128" s="465"/>
      <c r="H128" s="465"/>
      <c r="I128" s="465"/>
      <c r="J128" s="465"/>
      <c r="K128" s="465"/>
      <c r="L128" s="465"/>
      <c r="M128" s="465"/>
      <c r="N128" s="465"/>
      <c r="O128" s="532"/>
      <c r="P128" s="532"/>
      <c r="Q128" s="532"/>
      <c r="R128" s="533"/>
      <c r="S128" s="533"/>
      <c r="T128" s="533"/>
    </row>
    <row r="129" spans="1:20" ht="15">
      <c r="A129" s="465"/>
      <c r="B129" s="532"/>
      <c r="C129" s="532"/>
      <c r="D129" s="532"/>
      <c r="E129" s="465"/>
      <c r="F129" s="465"/>
      <c r="G129" s="465"/>
      <c r="H129" s="465"/>
      <c r="I129" s="465"/>
      <c r="J129" s="465"/>
      <c r="K129" s="465"/>
      <c r="L129" s="465"/>
      <c r="M129" s="465"/>
      <c r="N129" s="465"/>
      <c r="O129" s="532"/>
      <c r="P129" s="532"/>
      <c r="Q129" s="532"/>
      <c r="R129" s="533"/>
      <c r="S129" s="533"/>
      <c r="T129" s="533"/>
    </row>
    <row r="130" spans="1:20" ht="15">
      <c r="A130" s="465"/>
      <c r="B130" s="532"/>
      <c r="C130" s="532"/>
      <c r="D130" s="532"/>
      <c r="E130" s="465"/>
      <c r="F130" s="465"/>
      <c r="G130" s="465"/>
      <c r="H130" s="465"/>
      <c r="I130" s="465"/>
      <c r="J130" s="465"/>
      <c r="K130" s="465"/>
      <c r="L130" s="465"/>
      <c r="M130" s="465"/>
      <c r="N130" s="465"/>
      <c r="O130" s="532"/>
      <c r="P130" s="532"/>
      <c r="Q130" s="532"/>
      <c r="R130" s="533"/>
      <c r="S130" s="533"/>
      <c r="T130" s="533"/>
    </row>
    <row r="131" spans="1:20" ht="15">
      <c r="A131" s="465"/>
      <c r="B131" s="532"/>
      <c r="C131" s="532"/>
      <c r="D131" s="532"/>
      <c r="E131" s="465"/>
      <c r="F131" s="465"/>
      <c r="G131" s="465"/>
      <c r="H131" s="465"/>
      <c r="I131" s="465"/>
      <c r="J131" s="465"/>
      <c r="K131" s="465"/>
      <c r="L131" s="465"/>
      <c r="M131" s="465"/>
      <c r="N131" s="465"/>
      <c r="O131" s="532"/>
      <c r="P131" s="532"/>
      <c r="Q131" s="532"/>
      <c r="R131" s="533"/>
      <c r="S131" s="533"/>
      <c r="T131" s="533"/>
    </row>
    <row r="132" spans="1:20" ht="15">
      <c r="A132" s="465"/>
      <c r="B132" s="532"/>
      <c r="C132" s="532"/>
      <c r="D132" s="532"/>
      <c r="E132" s="465"/>
      <c r="F132" s="465"/>
      <c r="G132" s="465"/>
      <c r="H132" s="465"/>
      <c r="I132" s="465"/>
      <c r="J132" s="465"/>
      <c r="K132" s="465"/>
      <c r="L132" s="465"/>
      <c r="M132" s="465"/>
      <c r="N132" s="465"/>
      <c r="O132" s="532"/>
      <c r="P132" s="532"/>
      <c r="Q132" s="532"/>
      <c r="R132" s="533"/>
      <c r="S132" s="533"/>
      <c r="T132" s="533"/>
    </row>
    <row r="133" spans="1:20" ht="15">
      <c r="A133" s="465"/>
      <c r="B133" s="532"/>
      <c r="C133" s="532"/>
      <c r="D133" s="532"/>
      <c r="E133" s="465"/>
      <c r="F133" s="465"/>
      <c r="G133" s="465"/>
      <c r="H133" s="465"/>
      <c r="I133" s="465"/>
      <c r="J133" s="465"/>
      <c r="K133" s="465"/>
      <c r="L133" s="465"/>
      <c r="M133" s="465"/>
      <c r="N133" s="465"/>
      <c r="O133" s="532"/>
      <c r="P133" s="532"/>
      <c r="Q133" s="532"/>
      <c r="R133" s="533"/>
      <c r="S133" s="533"/>
      <c r="T133" s="533"/>
    </row>
    <row r="134" spans="1:20" ht="15">
      <c r="A134" s="465"/>
      <c r="B134" s="532"/>
      <c r="C134" s="532"/>
      <c r="D134" s="532"/>
      <c r="E134" s="465"/>
      <c r="F134" s="465"/>
      <c r="G134" s="465"/>
      <c r="H134" s="465"/>
      <c r="I134" s="465"/>
      <c r="J134" s="465"/>
      <c r="K134" s="465"/>
      <c r="L134" s="465"/>
      <c r="M134" s="465"/>
      <c r="N134" s="465"/>
      <c r="O134" s="532"/>
      <c r="P134" s="532"/>
      <c r="Q134" s="532"/>
      <c r="R134" s="533"/>
      <c r="S134" s="533"/>
      <c r="T134" s="533"/>
    </row>
    <row r="135" spans="1:20" ht="15">
      <c r="A135" s="465"/>
      <c r="B135" s="532"/>
      <c r="C135" s="532"/>
      <c r="D135" s="532"/>
      <c r="E135" s="465"/>
      <c r="F135" s="465"/>
      <c r="G135" s="465"/>
      <c r="H135" s="465"/>
      <c r="I135" s="465"/>
      <c r="J135" s="465"/>
      <c r="K135" s="465"/>
      <c r="L135" s="465"/>
      <c r="M135" s="465"/>
      <c r="N135" s="465"/>
      <c r="O135" s="532"/>
      <c r="P135" s="532"/>
      <c r="Q135" s="532"/>
      <c r="R135" s="533"/>
      <c r="S135" s="533"/>
      <c r="T135" s="533"/>
    </row>
    <row r="136" spans="1:20" ht="15">
      <c r="A136" s="465"/>
      <c r="B136" s="532"/>
      <c r="C136" s="532"/>
      <c r="D136" s="532"/>
      <c r="E136" s="465"/>
      <c r="F136" s="465"/>
      <c r="G136" s="465"/>
      <c r="H136" s="465"/>
      <c r="I136" s="465"/>
      <c r="J136" s="465"/>
      <c r="K136" s="465"/>
      <c r="L136" s="465"/>
      <c r="M136" s="465"/>
      <c r="N136" s="465"/>
      <c r="O136" s="532"/>
      <c r="P136" s="532"/>
      <c r="Q136" s="532"/>
      <c r="R136" s="533"/>
      <c r="S136" s="533"/>
      <c r="T136" s="533"/>
    </row>
    <row r="137" spans="1:20" ht="15">
      <c r="A137" s="465"/>
      <c r="B137" s="532"/>
      <c r="C137" s="532"/>
      <c r="D137" s="532"/>
      <c r="E137" s="465"/>
      <c r="F137" s="465"/>
      <c r="G137" s="465"/>
      <c r="H137" s="465"/>
      <c r="I137" s="465"/>
      <c r="J137" s="465"/>
      <c r="K137" s="465"/>
      <c r="L137" s="465"/>
      <c r="M137" s="465"/>
      <c r="N137" s="465"/>
      <c r="O137" s="532"/>
      <c r="P137" s="532"/>
      <c r="Q137" s="532"/>
      <c r="R137" s="533"/>
      <c r="S137" s="533"/>
      <c r="T137" s="533"/>
    </row>
    <row r="138" spans="1:20" ht="15">
      <c r="A138" s="465"/>
      <c r="B138" s="532"/>
      <c r="C138" s="532"/>
      <c r="D138" s="532"/>
      <c r="E138" s="465"/>
      <c r="F138" s="465"/>
      <c r="G138" s="465"/>
      <c r="H138" s="465"/>
      <c r="I138" s="465"/>
      <c r="J138" s="465"/>
      <c r="K138" s="465"/>
      <c r="L138" s="465"/>
      <c r="M138" s="465"/>
      <c r="N138" s="465"/>
      <c r="O138" s="532"/>
      <c r="P138" s="532"/>
      <c r="Q138" s="532"/>
      <c r="R138" s="533"/>
      <c r="S138" s="533"/>
      <c r="T138" s="533"/>
    </row>
    <row r="139" spans="1:20" ht="15">
      <c r="A139" s="465"/>
      <c r="B139" s="532"/>
      <c r="C139" s="532"/>
      <c r="D139" s="532"/>
      <c r="E139" s="465"/>
      <c r="F139" s="465"/>
      <c r="G139" s="465"/>
      <c r="H139" s="465"/>
      <c r="I139" s="465"/>
      <c r="J139" s="465"/>
      <c r="K139" s="465"/>
      <c r="L139" s="465"/>
      <c r="M139" s="465"/>
      <c r="N139" s="465"/>
      <c r="O139" s="532"/>
      <c r="P139" s="532"/>
      <c r="Q139" s="532"/>
      <c r="R139" s="533"/>
      <c r="S139" s="533"/>
      <c r="T139" s="533"/>
    </row>
    <row r="140" spans="1:20" ht="15">
      <c r="A140" s="465"/>
      <c r="B140" s="532"/>
      <c r="C140" s="532"/>
      <c r="D140" s="532"/>
      <c r="E140" s="465"/>
      <c r="F140" s="465"/>
      <c r="G140" s="465"/>
      <c r="H140" s="465"/>
      <c r="I140" s="465"/>
      <c r="J140" s="465"/>
      <c r="K140" s="465"/>
      <c r="L140" s="465"/>
      <c r="M140" s="465"/>
      <c r="N140" s="465"/>
      <c r="O140" s="532"/>
      <c r="P140" s="532"/>
      <c r="Q140" s="532"/>
      <c r="R140" s="533"/>
      <c r="S140" s="533"/>
      <c r="T140" s="533"/>
    </row>
    <row r="141" spans="1:20" ht="15">
      <c r="A141" s="465"/>
      <c r="B141" s="532"/>
      <c r="C141" s="532"/>
      <c r="D141" s="532"/>
      <c r="E141" s="465"/>
      <c r="F141" s="465"/>
      <c r="G141" s="465"/>
      <c r="H141" s="465"/>
      <c r="I141" s="465"/>
      <c r="J141" s="465"/>
      <c r="K141" s="465"/>
      <c r="L141" s="465"/>
      <c r="M141" s="465"/>
      <c r="N141" s="465"/>
      <c r="O141" s="532"/>
      <c r="P141" s="532"/>
      <c r="Q141" s="532"/>
      <c r="R141" s="533"/>
      <c r="S141" s="533"/>
      <c r="T141" s="533"/>
    </row>
    <row r="142" spans="1:20" ht="15">
      <c r="A142" s="465"/>
      <c r="B142" s="532"/>
      <c r="C142" s="532"/>
      <c r="D142" s="532"/>
      <c r="E142" s="465"/>
      <c r="F142" s="465"/>
      <c r="G142" s="465"/>
      <c r="H142" s="465"/>
      <c r="I142" s="465"/>
      <c r="J142" s="465"/>
      <c r="K142" s="465"/>
      <c r="L142" s="465"/>
      <c r="M142" s="465"/>
      <c r="N142" s="465"/>
      <c r="O142" s="532"/>
      <c r="P142" s="532"/>
      <c r="Q142" s="532"/>
      <c r="R142" s="533"/>
      <c r="S142" s="533"/>
      <c r="T142" s="533"/>
    </row>
    <row r="143" spans="1:20" ht="15">
      <c r="A143" s="465"/>
      <c r="B143" s="532"/>
      <c r="C143" s="532"/>
      <c r="D143" s="532"/>
      <c r="E143" s="465"/>
      <c r="F143" s="465"/>
      <c r="G143" s="465"/>
      <c r="H143" s="465"/>
      <c r="I143" s="465"/>
      <c r="J143" s="465"/>
      <c r="K143" s="465"/>
      <c r="L143" s="465"/>
      <c r="M143" s="465"/>
      <c r="N143" s="465"/>
      <c r="O143" s="532"/>
      <c r="P143" s="532"/>
      <c r="Q143" s="532"/>
      <c r="R143" s="533"/>
      <c r="S143" s="533"/>
      <c r="T143" s="533"/>
    </row>
    <row r="144" spans="1:20" ht="15">
      <c r="A144" s="465"/>
      <c r="B144" s="532"/>
      <c r="C144" s="532"/>
      <c r="D144" s="532"/>
      <c r="E144" s="465"/>
      <c r="F144" s="465"/>
      <c r="G144" s="465"/>
      <c r="H144" s="465"/>
      <c r="I144" s="465"/>
      <c r="J144" s="465"/>
      <c r="K144" s="465"/>
      <c r="L144" s="465"/>
      <c r="M144" s="465"/>
      <c r="N144" s="465"/>
      <c r="O144" s="532"/>
      <c r="P144" s="532"/>
      <c r="Q144" s="532"/>
      <c r="R144" s="533"/>
      <c r="S144" s="533"/>
      <c r="T144" s="533"/>
    </row>
    <row r="145" spans="1:20" ht="15">
      <c r="A145" s="465"/>
      <c r="B145" s="532"/>
      <c r="C145" s="532"/>
      <c r="D145" s="532"/>
      <c r="E145" s="465"/>
      <c r="F145" s="465"/>
      <c r="G145" s="465"/>
      <c r="H145" s="465"/>
      <c r="I145" s="465"/>
      <c r="J145" s="465"/>
      <c r="K145" s="465"/>
      <c r="L145" s="465"/>
      <c r="M145" s="465"/>
      <c r="N145" s="465"/>
      <c r="O145" s="532"/>
      <c r="P145" s="532"/>
      <c r="Q145" s="532"/>
      <c r="R145" s="533"/>
      <c r="S145" s="533"/>
      <c r="T145" s="533"/>
    </row>
    <row r="146" spans="1:20" ht="15">
      <c r="A146" s="465"/>
      <c r="B146" s="532"/>
      <c r="C146" s="532"/>
      <c r="D146" s="532"/>
      <c r="E146" s="465"/>
      <c r="F146" s="465"/>
      <c r="G146" s="465"/>
      <c r="H146" s="465"/>
      <c r="I146" s="465"/>
      <c r="J146" s="465"/>
      <c r="K146" s="465"/>
      <c r="L146" s="465"/>
      <c r="M146" s="465"/>
      <c r="N146" s="465"/>
      <c r="O146" s="532"/>
      <c r="P146" s="532"/>
      <c r="Q146" s="532"/>
      <c r="R146" s="533"/>
      <c r="S146" s="533"/>
      <c r="T146" s="533"/>
    </row>
    <row r="147" spans="1:20" ht="15">
      <c r="A147" s="465"/>
      <c r="B147" s="532"/>
      <c r="C147" s="532"/>
      <c r="D147" s="532"/>
      <c r="E147" s="465"/>
      <c r="F147" s="465"/>
      <c r="G147" s="465"/>
      <c r="H147" s="465"/>
      <c r="I147" s="465"/>
      <c r="J147" s="465"/>
      <c r="K147" s="465"/>
      <c r="L147" s="465"/>
      <c r="M147" s="465"/>
      <c r="N147" s="465"/>
      <c r="O147" s="532"/>
      <c r="P147" s="532"/>
      <c r="Q147" s="532"/>
      <c r="R147" s="533"/>
      <c r="S147" s="533"/>
      <c r="T147" s="533"/>
    </row>
    <row r="148" spans="1:20" ht="15">
      <c r="A148" s="465"/>
      <c r="B148" s="532"/>
      <c r="C148" s="532"/>
      <c r="D148" s="532"/>
      <c r="E148" s="465"/>
      <c r="F148" s="465"/>
      <c r="G148" s="465"/>
      <c r="H148" s="465"/>
      <c r="I148" s="465"/>
      <c r="J148" s="465"/>
      <c r="K148" s="465"/>
      <c r="L148" s="465"/>
      <c r="M148" s="465"/>
      <c r="N148" s="465"/>
      <c r="O148" s="532"/>
      <c r="P148" s="532"/>
      <c r="Q148" s="532"/>
      <c r="R148" s="533"/>
      <c r="S148" s="533"/>
      <c r="T148" s="533"/>
    </row>
    <row r="149" spans="1:20" ht="15">
      <c r="A149" s="465"/>
      <c r="B149" s="532"/>
      <c r="C149" s="532"/>
      <c r="D149" s="532"/>
      <c r="E149" s="465"/>
      <c r="F149" s="465"/>
      <c r="G149" s="465"/>
      <c r="H149" s="465"/>
      <c r="I149" s="465"/>
      <c r="J149" s="465"/>
      <c r="K149" s="465"/>
      <c r="L149" s="465"/>
      <c r="M149" s="465"/>
      <c r="N149" s="465"/>
      <c r="O149" s="532"/>
      <c r="P149" s="532"/>
      <c r="Q149" s="532"/>
      <c r="R149" s="533"/>
      <c r="S149" s="533"/>
      <c r="T149" s="533"/>
    </row>
    <row r="150" spans="1:20" ht="15">
      <c r="A150" s="465"/>
      <c r="B150" s="532"/>
      <c r="C150" s="532"/>
      <c r="D150" s="532"/>
      <c r="E150" s="465"/>
      <c r="F150" s="465"/>
      <c r="G150" s="465"/>
      <c r="H150" s="465"/>
      <c r="I150" s="465"/>
      <c r="J150" s="465"/>
      <c r="K150" s="465"/>
      <c r="L150" s="465"/>
      <c r="M150" s="465"/>
      <c r="N150" s="465"/>
      <c r="O150" s="532"/>
      <c r="P150" s="532"/>
      <c r="Q150" s="532"/>
      <c r="R150" s="533"/>
      <c r="S150" s="533"/>
      <c r="T150" s="533"/>
    </row>
    <row r="151" spans="1:20" ht="15">
      <c r="A151" s="465"/>
      <c r="B151" s="532"/>
      <c r="C151" s="532"/>
      <c r="D151" s="532"/>
      <c r="E151" s="465"/>
      <c r="F151" s="465"/>
      <c r="G151" s="465"/>
      <c r="H151" s="465"/>
      <c r="I151" s="465"/>
      <c r="J151" s="465"/>
      <c r="K151" s="465"/>
      <c r="L151" s="465"/>
      <c r="M151" s="465"/>
      <c r="N151" s="465"/>
      <c r="O151" s="532"/>
      <c r="P151" s="532"/>
      <c r="Q151" s="532"/>
      <c r="R151" s="533"/>
      <c r="S151" s="533"/>
      <c r="T151" s="533"/>
    </row>
    <row r="152" spans="1:20" ht="15">
      <c r="A152" s="465"/>
      <c r="B152" s="532"/>
      <c r="C152" s="532"/>
      <c r="D152" s="532"/>
      <c r="E152" s="465"/>
      <c r="F152" s="465"/>
      <c r="G152" s="465"/>
      <c r="H152" s="465"/>
      <c r="I152" s="465"/>
      <c r="J152" s="465"/>
      <c r="K152" s="465"/>
      <c r="L152" s="465"/>
      <c r="M152" s="465"/>
      <c r="N152" s="465"/>
      <c r="O152" s="532"/>
      <c r="P152" s="532"/>
      <c r="Q152" s="532"/>
      <c r="R152" s="533"/>
      <c r="S152" s="533"/>
      <c r="T152" s="533"/>
    </row>
    <row r="153" spans="1:20" ht="15">
      <c r="A153" s="465"/>
      <c r="B153" s="532"/>
      <c r="C153" s="532"/>
      <c r="D153" s="532"/>
      <c r="E153" s="465"/>
      <c r="F153" s="465"/>
      <c r="G153" s="465"/>
      <c r="H153" s="465"/>
      <c r="I153" s="465"/>
      <c r="J153" s="465"/>
      <c r="K153" s="465"/>
      <c r="L153" s="465"/>
      <c r="M153" s="465"/>
      <c r="N153" s="465"/>
      <c r="O153" s="532"/>
      <c r="P153" s="532"/>
      <c r="Q153" s="532"/>
      <c r="R153" s="533"/>
      <c r="S153" s="533"/>
      <c r="T153" s="533"/>
    </row>
    <row r="154" spans="1:20" ht="15">
      <c r="A154" s="465"/>
      <c r="B154" s="532"/>
      <c r="C154" s="532"/>
      <c r="D154" s="532"/>
      <c r="E154" s="465"/>
      <c r="F154" s="465"/>
      <c r="G154" s="465"/>
      <c r="H154" s="465"/>
      <c r="I154" s="465"/>
      <c r="J154" s="465"/>
      <c r="K154" s="465"/>
      <c r="L154" s="465"/>
      <c r="M154" s="465"/>
      <c r="N154" s="465"/>
      <c r="O154" s="532"/>
      <c r="P154" s="532"/>
      <c r="Q154" s="532"/>
      <c r="R154" s="533"/>
      <c r="S154" s="533"/>
      <c r="T154" s="533"/>
    </row>
    <row r="155" spans="1:20" ht="15">
      <c r="A155" s="465"/>
      <c r="B155" s="532"/>
      <c r="C155" s="532"/>
      <c r="D155" s="532"/>
      <c r="E155" s="465"/>
      <c r="F155" s="465"/>
      <c r="G155" s="465"/>
      <c r="H155" s="465"/>
      <c r="I155" s="465"/>
      <c r="J155" s="465"/>
      <c r="K155" s="465"/>
      <c r="L155" s="465"/>
      <c r="M155" s="465"/>
      <c r="N155" s="465"/>
      <c r="O155" s="532"/>
      <c r="P155" s="532"/>
      <c r="Q155" s="532"/>
      <c r="R155" s="533"/>
      <c r="S155" s="533"/>
      <c r="T155" s="533"/>
    </row>
    <row r="156" spans="1:20" ht="15">
      <c r="A156" s="465"/>
      <c r="B156" s="532"/>
      <c r="C156" s="532"/>
      <c r="D156" s="532"/>
      <c r="E156" s="465"/>
      <c r="F156" s="465"/>
      <c r="G156" s="465"/>
      <c r="H156" s="465"/>
      <c r="I156" s="465"/>
      <c r="J156" s="465"/>
      <c r="K156" s="465"/>
      <c r="L156" s="465"/>
      <c r="M156" s="465"/>
      <c r="N156" s="465"/>
      <c r="O156" s="532"/>
      <c r="P156" s="532"/>
      <c r="Q156" s="532"/>
      <c r="R156" s="533"/>
      <c r="S156" s="533"/>
      <c r="T156" s="533"/>
    </row>
    <row r="157" spans="1:20" ht="15">
      <c r="A157" s="465"/>
      <c r="B157" s="532"/>
      <c r="C157" s="532"/>
      <c r="D157" s="532"/>
      <c r="E157" s="465"/>
      <c r="F157" s="465"/>
      <c r="G157" s="465"/>
      <c r="H157" s="465"/>
      <c r="I157" s="465"/>
      <c r="J157" s="465"/>
      <c r="K157" s="465"/>
      <c r="L157" s="465"/>
      <c r="M157" s="465"/>
      <c r="N157" s="465"/>
      <c r="O157" s="532"/>
      <c r="P157" s="532"/>
      <c r="Q157" s="532"/>
      <c r="R157" s="533"/>
      <c r="S157" s="533"/>
      <c r="T157" s="533"/>
    </row>
    <row r="158" spans="1:20" ht="15">
      <c r="A158" s="465"/>
      <c r="B158" s="532"/>
      <c r="C158" s="532"/>
      <c r="D158" s="532"/>
      <c r="E158" s="465"/>
      <c r="F158" s="465"/>
      <c r="G158" s="465"/>
      <c r="H158" s="465"/>
      <c r="I158" s="465"/>
      <c r="J158" s="465"/>
      <c r="K158" s="465"/>
      <c r="L158" s="465"/>
      <c r="M158" s="465"/>
      <c r="N158" s="465"/>
      <c r="O158" s="532"/>
      <c r="P158" s="532"/>
      <c r="Q158" s="532"/>
      <c r="R158" s="533"/>
      <c r="S158" s="533"/>
      <c r="T158" s="533"/>
    </row>
    <row r="159" spans="1:20" ht="15">
      <c r="A159" s="465"/>
      <c r="B159" s="532"/>
      <c r="C159" s="532"/>
      <c r="D159" s="532"/>
      <c r="E159" s="465"/>
      <c r="F159" s="465"/>
      <c r="G159" s="465"/>
      <c r="H159" s="465"/>
      <c r="I159" s="465"/>
      <c r="J159" s="465"/>
      <c r="K159" s="465"/>
      <c r="L159" s="465"/>
      <c r="M159" s="465"/>
      <c r="N159" s="465"/>
      <c r="O159" s="532"/>
      <c r="P159" s="532"/>
      <c r="Q159" s="532"/>
      <c r="R159" s="533"/>
      <c r="S159" s="533"/>
      <c r="T159" s="533"/>
    </row>
    <row r="160" spans="1:20" ht="15">
      <c r="A160" s="465"/>
      <c r="B160" s="532"/>
      <c r="C160" s="532"/>
      <c r="D160" s="532"/>
      <c r="E160" s="465"/>
      <c r="F160" s="465"/>
      <c r="G160" s="465"/>
      <c r="H160" s="465"/>
      <c r="I160" s="465"/>
      <c r="J160" s="465"/>
      <c r="K160" s="465"/>
      <c r="L160" s="465"/>
      <c r="M160" s="465"/>
      <c r="N160" s="465"/>
      <c r="O160" s="532"/>
      <c r="P160" s="532"/>
      <c r="Q160" s="532"/>
      <c r="R160" s="533"/>
      <c r="S160" s="533"/>
      <c r="T160" s="533"/>
    </row>
    <row r="161" spans="1:20" ht="15">
      <c r="A161" s="465"/>
      <c r="B161" s="532"/>
      <c r="C161" s="532"/>
      <c r="D161" s="532"/>
      <c r="E161" s="465"/>
      <c r="F161" s="465"/>
      <c r="G161" s="465"/>
      <c r="H161" s="465"/>
      <c r="I161" s="465"/>
      <c r="J161" s="465"/>
      <c r="K161" s="465"/>
      <c r="L161" s="465"/>
      <c r="M161" s="465"/>
      <c r="N161" s="465"/>
      <c r="O161" s="532"/>
      <c r="P161" s="532"/>
      <c r="Q161" s="532"/>
      <c r="R161" s="533"/>
      <c r="S161" s="533"/>
      <c r="T161" s="533"/>
    </row>
    <row r="162" spans="1:20" ht="15">
      <c r="A162" s="465"/>
      <c r="B162" s="532"/>
      <c r="C162" s="532"/>
      <c r="D162" s="532"/>
      <c r="E162" s="465"/>
      <c r="F162" s="465"/>
      <c r="G162" s="465"/>
      <c r="H162" s="465"/>
      <c r="I162" s="465"/>
      <c r="J162" s="465"/>
      <c r="K162" s="465"/>
      <c r="L162" s="465"/>
      <c r="M162" s="465"/>
      <c r="N162" s="465"/>
      <c r="O162" s="532"/>
      <c r="P162" s="532"/>
      <c r="Q162" s="532"/>
      <c r="R162" s="533"/>
      <c r="S162" s="533"/>
      <c r="T162" s="533"/>
    </row>
    <row r="163" spans="1:20" ht="15">
      <c r="A163" s="465"/>
      <c r="B163" s="532"/>
      <c r="C163" s="532"/>
      <c r="D163" s="532"/>
      <c r="E163" s="465"/>
      <c r="F163" s="465"/>
      <c r="G163" s="465"/>
      <c r="H163" s="465"/>
      <c r="I163" s="465"/>
      <c r="J163" s="465"/>
      <c r="K163" s="465"/>
      <c r="L163" s="465"/>
      <c r="M163" s="465"/>
      <c r="N163" s="465"/>
      <c r="O163" s="532"/>
      <c r="P163" s="532"/>
      <c r="Q163" s="532"/>
      <c r="R163" s="533"/>
      <c r="S163" s="533"/>
      <c r="T163" s="533"/>
    </row>
    <row r="164" spans="1:20" ht="15">
      <c r="A164" s="465"/>
      <c r="B164" s="532"/>
      <c r="C164" s="532"/>
      <c r="D164" s="532"/>
      <c r="E164" s="465"/>
      <c r="F164" s="465"/>
      <c r="G164" s="465"/>
      <c r="H164" s="465"/>
      <c r="I164" s="465"/>
      <c r="J164" s="465"/>
      <c r="K164" s="465"/>
      <c r="L164" s="465"/>
      <c r="M164" s="465"/>
      <c r="N164" s="465"/>
      <c r="O164" s="532"/>
      <c r="P164" s="532"/>
      <c r="Q164" s="532"/>
      <c r="R164" s="533"/>
      <c r="S164" s="533"/>
      <c r="T164" s="533"/>
    </row>
    <row r="165" spans="1:20" ht="15">
      <c r="A165" s="465"/>
      <c r="B165" s="532"/>
      <c r="C165" s="532"/>
      <c r="D165" s="532"/>
      <c r="E165" s="465"/>
      <c r="F165" s="465"/>
      <c r="G165" s="465"/>
      <c r="H165" s="465"/>
      <c r="I165" s="465"/>
      <c r="J165" s="465"/>
      <c r="K165" s="465"/>
      <c r="L165" s="465"/>
      <c r="M165" s="465"/>
      <c r="N165" s="465"/>
      <c r="O165" s="532"/>
      <c r="P165" s="532"/>
      <c r="Q165" s="532"/>
      <c r="R165" s="533"/>
      <c r="S165" s="533"/>
      <c r="T165" s="533"/>
    </row>
    <row r="166" spans="1:20" ht="15">
      <c r="A166" s="465"/>
      <c r="B166" s="532"/>
      <c r="C166" s="532"/>
      <c r="D166" s="532"/>
      <c r="E166" s="465"/>
      <c r="F166" s="465"/>
      <c r="G166" s="465"/>
      <c r="H166" s="465"/>
      <c r="I166" s="465"/>
      <c r="J166" s="465"/>
      <c r="K166" s="465"/>
      <c r="L166" s="465"/>
      <c r="M166" s="465"/>
      <c r="N166" s="465"/>
      <c r="O166" s="532"/>
      <c r="P166" s="532"/>
      <c r="Q166" s="532"/>
      <c r="R166" s="533"/>
      <c r="S166" s="533"/>
      <c r="T166" s="533"/>
    </row>
    <row r="167" spans="1:20" ht="15">
      <c r="A167" s="465"/>
      <c r="B167" s="532"/>
      <c r="C167" s="532"/>
      <c r="D167" s="532"/>
      <c r="E167" s="465"/>
      <c r="F167" s="465"/>
      <c r="G167" s="465"/>
      <c r="H167" s="465"/>
      <c r="I167" s="465"/>
      <c r="J167" s="465"/>
      <c r="K167" s="465"/>
      <c r="L167" s="465"/>
      <c r="M167" s="465"/>
      <c r="N167" s="465"/>
      <c r="O167" s="532"/>
      <c r="P167" s="532"/>
      <c r="Q167" s="532"/>
      <c r="R167" s="533"/>
      <c r="S167" s="533"/>
      <c r="T167" s="533"/>
    </row>
    <row r="168" spans="1:20" ht="15">
      <c r="A168" s="465"/>
      <c r="B168" s="532"/>
      <c r="C168" s="532"/>
      <c r="D168" s="532"/>
      <c r="E168" s="465"/>
      <c r="F168" s="465"/>
      <c r="G168" s="465"/>
      <c r="H168" s="465"/>
      <c r="I168" s="465"/>
      <c r="J168" s="465"/>
      <c r="K168" s="465"/>
      <c r="L168" s="465"/>
      <c r="M168" s="465"/>
      <c r="N168" s="465"/>
      <c r="O168" s="532"/>
      <c r="P168" s="532"/>
      <c r="Q168" s="532"/>
      <c r="R168" s="533"/>
      <c r="S168" s="533"/>
      <c r="T168" s="533"/>
    </row>
    <row r="169" spans="1:20" ht="15">
      <c r="A169" s="465"/>
      <c r="B169" s="532"/>
      <c r="C169" s="532"/>
      <c r="D169" s="532"/>
      <c r="E169" s="465"/>
      <c r="F169" s="465"/>
      <c r="G169" s="465"/>
      <c r="H169" s="465"/>
      <c r="I169" s="465"/>
      <c r="J169" s="465"/>
      <c r="K169" s="465"/>
      <c r="L169" s="465"/>
      <c r="M169" s="465"/>
      <c r="N169" s="465"/>
      <c r="O169" s="532"/>
      <c r="P169" s="532"/>
      <c r="Q169" s="532"/>
      <c r="R169" s="533"/>
      <c r="S169" s="533"/>
      <c r="T169" s="533"/>
    </row>
    <row r="170" spans="1:20" ht="15">
      <c r="A170" s="465"/>
      <c r="B170" s="532"/>
      <c r="C170" s="532"/>
      <c r="D170" s="532"/>
      <c r="E170" s="465"/>
      <c r="F170" s="465"/>
      <c r="G170" s="465"/>
      <c r="H170" s="465"/>
      <c r="I170" s="465"/>
      <c r="J170" s="465"/>
      <c r="K170" s="465"/>
      <c r="L170" s="465"/>
      <c r="M170" s="465"/>
      <c r="N170" s="465"/>
      <c r="O170" s="532"/>
      <c r="P170" s="532"/>
      <c r="Q170" s="532"/>
      <c r="R170" s="533"/>
      <c r="S170" s="533"/>
      <c r="T170" s="533"/>
    </row>
    <row r="171" spans="1:20" ht="15">
      <c r="A171" s="465"/>
      <c r="B171" s="532"/>
      <c r="C171" s="532"/>
      <c r="D171" s="532"/>
      <c r="E171" s="465"/>
      <c r="F171" s="465"/>
      <c r="G171" s="465"/>
      <c r="H171" s="465"/>
      <c r="I171" s="465"/>
      <c r="J171" s="465"/>
      <c r="K171" s="465"/>
      <c r="L171" s="465"/>
      <c r="M171" s="465"/>
      <c r="N171" s="465"/>
      <c r="O171" s="532"/>
      <c r="P171" s="532"/>
      <c r="Q171" s="532"/>
      <c r="R171" s="533"/>
      <c r="S171" s="533"/>
      <c r="T171" s="533"/>
    </row>
    <row r="172" spans="1:20" ht="15">
      <c r="A172" s="465"/>
      <c r="B172" s="532"/>
      <c r="C172" s="532"/>
      <c r="D172" s="532"/>
      <c r="E172" s="465"/>
      <c r="F172" s="465"/>
      <c r="G172" s="465"/>
      <c r="H172" s="465"/>
      <c r="I172" s="465"/>
      <c r="J172" s="465"/>
      <c r="K172" s="465"/>
      <c r="L172" s="465"/>
      <c r="M172" s="465"/>
      <c r="N172" s="465"/>
      <c r="O172" s="532"/>
      <c r="P172" s="532"/>
      <c r="Q172" s="532"/>
      <c r="R172" s="533"/>
      <c r="S172" s="533"/>
      <c r="T172" s="533"/>
    </row>
    <row r="173" spans="1:20" ht="15">
      <c r="A173" s="465"/>
      <c r="B173" s="532"/>
      <c r="C173" s="532"/>
      <c r="D173" s="532"/>
      <c r="E173" s="465"/>
      <c r="F173" s="465"/>
      <c r="G173" s="465"/>
      <c r="H173" s="465"/>
      <c r="I173" s="465"/>
      <c r="J173" s="465"/>
      <c r="K173" s="465"/>
      <c r="L173" s="465"/>
      <c r="M173" s="465"/>
      <c r="N173" s="465"/>
      <c r="O173" s="532"/>
      <c r="P173" s="532"/>
      <c r="Q173" s="532"/>
      <c r="R173" s="533"/>
      <c r="S173" s="533"/>
      <c r="T173" s="533"/>
    </row>
    <row r="174" spans="1:20" ht="15">
      <c r="A174" s="465"/>
      <c r="B174" s="532"/>
      <c r="C174" s="532"/>
      <c r="D174" s="532"/>
      <c r="E174" s="465"/>
      <c r="F174" s="465"/>
      <c r="G174" s="465"/>
      <c r="H174" s="465"/>
      <c r="I174" s="465"/>
      <c r="J174" s="465"/>
      <c r="K174" s="465"/>
      <c r="L174" s="465"/>
      <c r="M174" s="465"/>
      <c r="N174" s="465"/>
      <c r="O174" s="532"/>
      <c r="P174" s="532"/>
      <c r="Q174" s="532"/>
      <c r="R174" s="533"/>
      <c r="S174" s="533"/>
      <c r="T174" s="533"/>
    </row>
    <row r="175" spans="1:20" ht="15">
      <c r="A175" s="465"/>
      <c r="B175" s="532"/>
      <c r="C175" s="532"/>
      <c r="D175" s="532"/>
      <c r="E175" s="465"/>
      <c r="F175" s="465"/>
      <c r="G175" s="465"/>
      <c r="H175" s="465"/>
      <c r="I175" s="465"/>
      <c r="J175" s="465"/>
      <c r="K175" s="465"/>
      <c r="L175" s="465"/>
      <c r="M175" s="465"/>
      <c r="N175" s="465"/>
      <c r="O175" s="532"/>
      <c r="P175" s="532"/>
      <c r="Q175" s="532"/>
      <c r="R175" s="533"/>
      <c r="S175" s="533"/>
      <c r="T175" s="533"/>
    </row>
    <row r="176" spans="1:20" ht="15">
      <c r="A176" s="465"/>
      <c r="B176" s="532"/>
      <c r="C176" s="532"/>
      <c r="D176" s="532"/>
      <c r="E176" s="465"/>
      <c r="F176" s="465"/>
      <c r="G176" s="465"/>
      <c r="H176" s="465"/>
      <c r="I176" s="465"/>
      <c r="J176" s="465"/>
      <c r="K176" s="465"/>
      <c r="L176" s="465"/>
      <c r="M176" s="465"/>
      <c r="N176" s="465"/>
      <c r="O176" s="532"/>
      <c r="P176" s="532"/>
      <c r="Q176" s="532"/>
      <c r="R176" s="533"/>
      <c r="S176" s="533"/>
      <c r="T176" s="533"/>
    </row>
    <row r="177" spans="1:20" ht="15">
      <c r="A177" s="465"/>
      <c r="B177" s="532"/>
      <c r="C177" s="532"/>
      <c r="D177" s="532"/>
      <c r="E177" s="465"/>
      <c r="F177" s="465"/>
      <c r="G177" s="465"/>
      <c r="H177" s="465"/>
      <c r="I177" s="465"/>
      <c r="J177" s="465"/>
      <c r="K177" s="465"/>
      <c r="L177" s="465"/>
      <c r="M177" s="465"/>
      <c r="N177" s="465"/>
      <c r="O177" s="532"/>
      <c r="P177" s="532"/>
      <c r="Q177" s="532"/>
      <c r="R177" s="533"/>
      <c r="S177" s="533"/>
      <c r="T177" s="533"/>
    </row>
    <row r="178" spans="1:20" ht="15">
      <c r="A178" s="465"/>
      <c r="B178" s="532"/>
      <c r="C178" s="532"/>
      <c r="D178" s="532"/>
      <c r="E178" s="465"/>
      <c r="F178" s="465"/>
      <c r="G178" s="465"/>
      <c r="H178" s="465"/>
      <c r="I178" s="465"/>
      <c r="J178" s="465"/>
      <c r="K178" s="465"/>
      <c r="L178" s="465"/>
      <c r="M178" s="465"/>
      <c r="N178" s="465"/>
      <c r="O178" s="532"/>
      <c r="P178" s="532"/>
      <c r="Q178" s="532"/>
      <c r="R178" s="533"/>
      <c r="S178" s="533"/>
      <c r="T178" s="533"/>
    </row>
    <row r="179" spans="1:20" ht="15">
      <c r="A179" s="465"/>
      <c r="B179" s="532"/>
      <c r="C179" s="532"/>
      <c r="D179" s="532"/>
      <c r="E179" s="465"/>
      <c r="F179" s="465"/>
      <c r="G179" s="465"/>
      <c r="H179" s="465"/>
      <c r="I179" s="465"/>
      <c r="J179" s="465"/>
      <c r="K179" s="465"/>
      <c r="L179" s="465"/>
      <c r="M179" s="465"/>
      <c r="N179" s="465"/>
      <c r="O179" s="532"/>
      <c r="P179" s="532"/>
      <c r="Q179" s="532"/>
      <c r="R179" s="533"/>
      <c r="S179" s="533"/>
      <c r="T179" s="533"/>
    </row>
    <row r="180" spans="1:20" ht="15">
      <c r="A180" s="465"/>
      <c r="B180" s="532"/>
      <c r="C180" s="532"/>
      <c r="D180" s="532"/>
      <c r="E180" s="465"/>
      <c r="F180" s="465"/>
      <c r="G180" s="465"/>
      <c r="H180" s="465"/>
      <c r="I180" s="465"/>
      <c r="J180" s="465"/>
      <c r="K180" s="465"/>
      <c r="L180" s="465"/>
      <c r="M180" s="465"/>
      <c r="N180" s="465"/>
      <c r="O180" s="532"/>
      <c r="P180" s="532"/>
      <c r="Q180" s="532"/>
      <c r="R180" s="533"/>
      <c r="S180" s="533"/>
      <c r="T180" s="533"/>
    </row>
    <row r="181" spans="1:20" ht="15">
      <c r="A181" s="465"/>
      <c r="B181" s="532"/>
      <c r="C181" s="532"/>
      <c r="D181" s="532"/>
      <c r="E181" s="465"/>
      <c r="F181" s="465"/>
      <c r="G181" s="465"/>
      <c r="H181" s="465"/>
      <c r="I181" s="465"/>
      <c r="J181" s="465"/>
      <c r="K181" s="465"/>
      <c r="L181" s="465"/>
      <c r="M181" s="465"/>
      <c r="N181" s="465"/>
      <c r="O181" s="532"/>
      <c r="P181" s="532"/>
      <c r="Q181" s="532"/>
      <c r="R181" s="533"/>
      <c r="S181" s="533"/>
      <c r="T181" s="533"/>
    </row>
    <row r="182" spans="1:20" ht="15">
      <c r="A182" s="465"/>
      <c r="B182" s="532"/>
      <c r="C182" s="532"/>
      <c r="D182" s="532"/>
      <c r="E182" s="465"/>
      <c r="F182" s="465"/>
      <c r="G182" s="465"/>
      <c r="H182" s="465"/>
      <c r="I182" s="465"/>
      <c r="J182" s="465"/>
      <c r="K182" s="465"/>
      <c r="L182" s="465"/>
      <c r="M182" s="465"/>
      <c r="N182" s="465"/>
      <c r="O182" s="532"/>
      <c r="P182" s="532"/>
      <c r="Q182" s="532"/>
      <c r="R182" s="533"/>
      <c r="S182" s="533"/>
      <c r="T182" s="533"/>
    </row>
    <row r="183" spans="1:20" ht="15">
      <c r="A183" s="465"/>
      <c r="B183" s="532"/>
      <c r="C183" s="532"/>
      <c r="D183" s="532"/>
      <c r="E183" s="465"/>
      <c r="F183" s="465"/>
      <c r="G183" s="465"/>
      <c r="H183" s="465"/>
      <c r="I183" s="465"/>
      <c r="J183" s="465"/>
      <c r="K183" s="465"/>
      <c r="L183" s="465"/>
      <c r="M183" s="465"/>
      <c r="N183" s="465"/>
      <c r="O183" s="532"/>
      <c r="P183" s="532"/>
      <c r="Q183" s="532"/>
      <c r="R183" s="533"/>
      <c r="S183" s="533"/>
      <c r="T183" s="533"/>
    </row>
    <row r="184" spans="1:20" ht="15">
      <c r="A184" s="465"/>
      <c r="B184" s="532"/>
      <c r="C184" s="532"/>
      <c r="D184" s="532"/>
      <c r="E184" s="465"/>
      <c r="F184" s="465"/>
      <c r="G184" s="465"/>
      <c r="H184" s="465"/>
      <c r="I184" s="465"/>
      <c r="J184" s="465"/>
      <c r="K184" s="465"/>
      <c r="L184" s="465"/>
      <c r="M184" s="465"/>
      <c r="N184" s="465"/>
      <c r="O184" s="532"/>
      <c r="P184" s="532"/>
      <c r="Q184" s="532"/>
      <c r="R184" s="533"/>
      <c r="S184" s="533"/>
      <c r="T184" s="533"/>
    </row>
    <row r="185" spans="1:20" ht="15">
      <c r="A185" s="465"/>
      <c r="B185" s="532"/>
      <c r="C185" s="532"/>
      <c r="D185" s="532"/>
      <c r="E185" s="465"/>
      <c r="F185" s="465"/>
      <c r="G185" s="465"/>
      <c r="H185" s="465"/>
      <c r="I185" s="465"/>
      <c r="J185" s="465"/>
      <c r="K185" s="465"/>
      <c r="L185" s="465"/>
      <c r="M185" s="465"/>
      <c r="N185" s="465"/>
      <c r="O185" s="532"/>
      <c r="P185" s="532"/>
      <c r="Q185" s="532"/>
      <c r="R185" s="533"/>
      <c r="S185" s="533"/>
      <c r="T185" s="533"/>
    </row>
    <row r="186" spans="1:20" ht="15">
      <c r="A186" s="465"/>
      <c r="B186" s="532"/>
      <c r="C186" s="532"/>
      <c r="D186" s="532"/>
      <c r="E186" s="465"/>
      <c r="F186" s="465"/>
      <c r="G186" s="465"/>
      <c r="H186" s="465"/>
      <c r="I186" s="465"/>
      <c r="J186" s="465"/>
      <c r="K186" s="465"/>
      <c r="L186" s="465"/>
      <c r="M186" s="465"/>
      <c r="N186" s="465"/>
      <c r="O186" s="532"/>
      <c r="P186" s="532"/>
      <c r="Q186" s="532"/>
      <c r="R186" s="533"/>
      <c r="S186" s="533"/>
      <c r="T186" s="533"/>
    </row>
    <row r="187" spans="1:20" ht="15">
      <c r="A187" s="465"/>
      <c r="B187" s="532"/>
      <c r="C187" s="532"/>
      <c r="D187" s="532"/>
      <c r="E187" s="465"/>
      <c r="F187" s="465"/>
      <c r="G187" s="465"/>
      <c r="H187" s="465"/>
      <c r="I187" s="465"/>
      <c r="J187" s="465"/>
      <c r="K187" s="465"/>
      <c r="L187" s="465"/>
      <c r="M187" s="465"/>
      <c r="N187" s="465"/>
      <c r="O187" s="532"/>
      <c r="P187" s="532"/>
      <c r="Q187" s="532"/>
      <c r="R187" s="533"/>
      <c r="S187" s="533"/>
      <c r="T187" s="533"/>
    </row>
    <row r="188" spans="1:20" ht="15">
      <c r="A188" s="465"/>
      <c r="B188" s="532"/>
      <c r="C188" s="532"/>
      <c r="D188" s="532"/>
      <c r="E188" s="465"/>
      <c r="F188" s="465"/>
      <c r="G188" s="465"/>
      <c r="H188" s="465"/>
      <c r="I188" s="465"/>
      <c r="J188" s="465"/>
      <c r="K188" s="465"/>
      <c r="L188" s="465"/>
      <c r="M188" s="465"/>
      <c r="N188" s="465"/>
      <c r="O188" s="532"/>
      <c r="P188" s="532"/>
      <c r="Q188" s="532"/>
      <c r="R188" s="533"/>
      <c r="S188" s="533"/>
      <c r="T188" s="533"/>
    </row>
    <row r="189" spans="1:20" ht="15">
      <c r="A189" s="465"/>
      <c r="B189" s="532"/>
      <c r="C189" s="532"/>
      <c r="D189" s="532"/>
      <c r="E189" s="465"/>
      <c r="F189" s="465"/>
      <c r="G189" s="465"/>
      <c r="H189" s="465"/>
      <c r="I189" s="465"/>
      <c r="J189" s="465"/>
      <c r="K189" s="465"/>
      <c r="L189" s="465"/>
      <c r="M189" s="465"/>
      <c r="N189" s="465"/>
      <c r="O189" s="532"/>
      <c r="P189" s="532"/>
      <c r="Q189" s="532"/>
      <c r="R189" s="533"/>
      <c r="S189" s="533"/>
      <c r="T189" s="533"/>
    </row>
    <row r="190" spans="1:20" ht="15">
      <c r="A190" s="465"/>
      <c r="B190" s="532"/>
      <c r="C190" s="532"/>
      <c r="D190" s="532"/>
      <c r="E190" s="465"/>
      <c r="F190" s="465"/>
      <c r="G190" s="465"/>
      <c r="H190" s="465"/>
      <c r="I190" s="465"/>
      <c r="J190" s="465"/>
      <c r="K190" s="465"/>
      <c r="L190" s="465"/>
      <c r="M190" s="465"/>
      <c r="N190" s="465"/>
      <c r="O190" s="532"/>
      <c r="P190" s="532"/>
      <c r="Q190" s="532"/>
      <c r="R190" s="533"/>
      <c r="S190" s="533"/>
      <c r="T190" s="533"/>
    </row>
    <row r="191" spans="1:20" ht="15">
      <c r="A191" s="465"/>
      <c r="B191" s="532"/>
      <c r="C191" s="532"/>
      <c r="D191" s="532"/>
      <c r="E191" s="465"/>
      <c r="F191" s="465"/>
      <c r="G191" s="465"/>
      <c r="H191" s="465"/>
      <c r="I191" s="465"/>
      <c r="J191" s="465"/>
      <c r="K191" s="465"/>
      <c r="L191" s="465"/>
      <c r="M191" s="465"/>
      <c r="N191" s="465"/>
      <c r="O191" s="532"/>
      <c r="P191" s="532"/>
      <c r="Q191" s="532"/>
      <c r="R191" s="533"/>
      <c r="S191" s="533"/>
      <c r="T191" s="533"/>
    </row>
    <row r="192" spans="1:20" ht="15">
      <c r="A192" s="465"/>
      <c r="B192" s="532"/>
      <c r="C192" s="532"/>
      <c r="D192" s="532"/>
      <c r="E192" s="465"/>
      <c r="F192" s="465"/>
      <c r="G192" s="465"/>
      <c r="H192" s="465"/>
      <c r="I192" s="465"/>
      <c r="J192" s="465"/>
      <c r="K192" s="465"/>
      <c r="L192" s="465"/>
      <c r="M192" s="465"/>
      <c r="N192" s="465"/>
      <c r="O192" s="532"/>
      <c r="P192" s="532"/>
      <c r="Q192" s="532"/>
      <c r="R192" s="533"/>
      <c r="S192" s="533"/>
      <c r="T192" s="533"/>
    </row>
    <row r="193" spans="1:20" ht="15">
      <c r="A193" s="465"/>
      <c r="B193" s="532"/>
      <c r="C193" s="532"/>
      <c r="D193" s="532"/>
      <c r="E193" s="465"/>
      <c r="F193" s="465"/>
      <c r="G193" s="465"/>
      <c r="H193" s="465"/>
      <c r="I193" s="465"/>
      <c r="J193" s="465"/>
      <c r="K193" s="465"/>
      <c r="L193" s="465"/>
      <c r="M193" s="465"/>
      <c r="N193" s="465"/>
      <c r="O193" s="532"/>
      <c r="P193" s="532"/>
      <c r="Q193" s="532"/>
      <c r="R193" s="533"/>
      <c r="S193" s="533"/>
      <c r="T193" s="533"/>
    </row>
    <row r="194" spans="1:20" ht="15">
      <c r="A194" s="465"/>
      <c r="B194" s="532"/>
      <c r="C194" s="532"/>
      <c r="D194" s="532"/>
      <c r="E194" s="465"/>
      <c r="F194" s="465"/>
      <c r="G194" s="465"/>
      <c r="H194" s="465"/>
      <c r="I194" s="465"/>
      <c r="J194" s="465"/>
      <c r="K194" s="465"/>
      <c r="L194" s="465"/>
      <c r="M194" s="465"/>
      <c r="N194" s="465"/>
      <c r="O194" s="532"/>
      <c r="P194" s="532"/>
      <c r="Q194" s="532"/>
      <c r="R194" s="533"/>
      <c r="S194" s="533"/>
      <c r="T194" s="533"/>
    </row>
    <row r="195" spans="1:20" ht="15">
      <c r="A195" s="465"/>
      <c r="B195" s="532"/>
      <c r="C195" s="532"/>
      <c r="D195" s="532"/>
      <c r="E195" s="465"/>
      <c r="F195" s="465"/>
      <c r="G195" s="465"/>
      <c r="H195" s="465"/>
      <c r="I195" s="465"/>
      <c r="J195" s="465"/>
      <c r="K195" s="465"/>
      <c r="L195" s="465"/>
      <c r="M195" s="465"/>
      <c r="N195" s="465"/>
      <c r="O195" s="532"/>
      <c r="P195" s="532"/>
      <c r="Q195" s="532"/>
      <c r="R195" s="533"/>
      <c r="S195" s="533"/>
      <c r="T195" s="533"/>
    </row>
    <row r="196" spans="1:20" ht="15">
      <c r="A196" s="465"/>
      <c r="B196" s="532"/>
      <c r="C196" s="532"/>
      <c r="D196" s="532"/>
      <c r="E196" s="465"/>
      <c r="F196" s="465"/>
      <c r="G196" s="465"/>
      <c r="H196" s="465"/>
      <c r="I196" s="465"/>
      <c r="J196" s="465"/>
      <c r="K196" s="465"/>
      <c r="L196" s="465"/>
      <c r="M196" s="465"/>
      <c r="N196" s="465"/>
      <c r="O196" s="532"/>
      <c r="P196" s="532"/>
      <c r="Q196" s="532"/>
      <c r="R196" s="533"/>
      <c r="S196" s="533"/>
      <c r="T196" s="533"/>
    </row>
    <row r="197" spans="1:20" ht="15">
      <c r="A197" s="465"/>
      <c r="B197" s="532"/>
      <c r="C197" s="532"/>
      <c r="D197" s="532"/>
      <c r="E197" s="465"/>
      <c r="F197" s="465"/>
      <c r="G197" s="465"/>
      <c r="H197" s="465"/>
      <c r="I197" s="465"/>
      <c r="J197" s="465"/>
      <c r="K197" s="465"/>
      <c r="L197" s="465"/>
      <c r="M197" s="465"/>
      <c r="N197" s="465"/>
      <c r="O197" s="532"/>
      <c r="P197" s="532"/>
      <c r="Q197" s="532"/>
      <c r="R197" s="533"/>
      <c r="S197" s="533"/>
      <c r="T197" s="533"/>
    </row>
    <row r="198" spans="1:20" ht="15">
      <c r="A198" s="465"/>
      <c r="B198" s="532"/>
      <c r="C198" s="532"/>
      <c r="D198" s="532"/>
      <c r="E198" s="465"/>
      <c r="F198" s="465"/>
      <c r="G198" s="465"/>
      <c r="H198" s="465"/>
      <c r="I198" s="465"/>
      <c r="J198" s="465"/>
      <c r="K198" s="465"/>
      <c r="L198" s="465"/>
      <c r="M198" s="465"/>
      <c r="N198" s="465"/>
      <c r="O198" s="532"/>
      <c r="P198" s="532"/>
      <c r="Q198" s="532"/>
      <c r="R198" s="533"/>
      <c r="S198" s="533"/>
      <c r="T198" s="533"/>
    </row>
    <row r="199" spans="1:20" ht="15">
      <c r="A199" s="465"/>
      <c r="B199" s="532"/>
      <c r="C199" s="532"/>
      <c r="D199" s="532"/>
      <c r="E199" s="465"/>
      <c r="F199" s="465"/>
      <c r="G199" s="465"/>
      <c r="H199" s="465"/>
      <c r="I199" s="465"/>
      <c r="J199" s="465"/>
      <c r="K199" s="465"/>
      <c r="L199" s="465"/>
      <c r="M199" s="465"/>
      <c r="N199" s="465"/>
      <c r="O199" s="532"/>
      <c r="P199" s="532"/>
      <c r="Q199" s="532"/>
      <c r="R199" s="533"/>
      <c r="S199" s="533"/>
      <c r="T199" s="533"/>
    </row>
    <row r="200" spans="1:20" ht="15">
      <c r="A200" s="465"/>
      <c r="B200" s="532"/>
      <c r="C200" s="532"/>
      <c r="D200" s="532"/>
      <c r="E200" s="465"/>
      <c r="F200" s="465"/>
      <c r="G200" s="465"/>
      <c r="H200" s="465"/>
      <c r="I200" s="465"/>
      <c r="J200" s="465"/>
      <c r="K200" s="465"/>
      <c r="L200" s="465"/>
      <c r="M200" s="465"/>
      <c r="N200" s="465"/>
      <c r="O200" s="532"/>
      <c r="P200" s="532"/>
      <c r="Q200" s="532"/>
      <c r="R200" s="533"/>
      <c r="S200" s="533"/>
      <c r="T200" s="533"/>
    </row>
    <row r="201" spans="1:20" ht="15">
      <c r="A201" s="465"/>
      <c r="B201" s="532"/>
      <c r="C201" s="532"/>
      <c r="D201" s="532"/>
      <c r="E201" s="465"/>
      <c r="F201" s="465"/>
      <c r="G201" s="465"/>
      <c r="H201" s="465"/>
      <c r="I201" s="465"/>
      <c r="J201" s="465"/>
      <c r="K201" s="465"/>
      <c r="L201" s="465"/>
      <c r="M201" s="465"/>
      <c r="N201" s="465"/>
      <c r="O201" s="532"/>
      <c r="P201" s="532"/>
      <c r="Q201" s="532"/>
      <c r="R201" s="533"/>
      <c r="S201" s="533"/>
      <c r="T201" s="533"/>
    </row>
    <row r="202" spans="1:20" ht="15">
      <c r="A202" s="465"/>
      <c r="B202" s="532"/>
      <c r="C202" s="532"/>
      <c r="D202" s="532"/>
      <c r="E202" s="465"/>
      <c r="F202" s="465"/>
      <c r="G202" s="465"/>
      <c r="H202" s="465"/>
      <c r="I202" s="465"/>
      <c r="J202" s="465"/>
      <c r="K202" s="465"/>
      <c r="L202" s="465"/>
      <c r="M202" s="465"/>
      <c r="N202" s="465"/>
      <c r="O202" s="532"/>
      <c r="P202" s="532"/>
      <c r="Q202" s="532"/>
      <c r="R202" s="533"/>
      <c r="S202" s="533"/>
      <c r="T202" s="533"/>
    </row>
    <row r="203" spans="1:20" ht="15">
      <c r="A203" s="465"/>
      <c r="B203" s="532"/>
      <c r="C203" s="532"/>
      <c r="D203" s="532"/>
      <c r="E203" s="465"/>
      <c r="F203" s="465"/>
      <c r="G203" s="465"/>
      <c r="H203" s="465"/>
      <c r="I203" s="465"/>
      <c r="J203" s="465"/>
      <c r="K203" s="465"/>
      <c r="L203" s="465"/>
      <c r="M203" s="465"/>
      <c r="N203" s="465"/>
      <c r="O203" s="532"/>
      <c r="P203" s="532"/>
      <c r="Q203" s="532"/>
      <c r="R203" s="533"/>
      <c r="S203" s="533"/>
      <c r="T203" s="533"/>
    </row>
    <row r="204" spans="1:20" ht="15">
      <c r="A204" s="465"/>
      <c r="B204" s="532"/>
      <c r="C204" s="532"/>
      <c r="D204" s="532"/>
      <c r="E204" s="465"/>
      <c r="F204" s="465"/>
      <c r="G204" s="465"/>
      <c r="H204" s="465"/>
      <c r="I204" s="465"/>
      <c r="J204" s="465"/>
      <c r="K204" s="465"/>
      <c r="L204" s="465"/>
      <c r="M204" s="465"/>
      <c r="N204" s="465"/>
      <c r="O204" s="532"/>
      <c r="P204" s="532"/>
      <c r="Q204" s="532"/>
      <c r="R204" s="533"/>
      <c r="S204" s="533"/>
      <c r="T204" s="533"/>
    </row>
    <row r="205" spans="1:20" ht="15">
      <c r="A205" s="465"/>
      <c r="B205" s="532"/>
      <c r="C205" s="532"/>
      <c r="D205" s="532"/>
      <c r="E205" s="465"/>
      <c r="F205" s="465"/>
      <c r="G205" s="465"/>
      <c r="H205" s="465"/>
      <c r="I205" s="465"/>
      <c r="J205" s="465"/>
      <c r="K205" s="465"/>
      <c r="L205" s="465"/>
      <c r="M205" s="465"/>
      <c r="N205" s="465"/>
      <c r="O205" s="532"/>
      <c r="P205" s="532"/>
      <c r="Q205" s="532"/>
      <c r="R205" s="533"/>
      <c r="S205" s="533"/>
      <c r="T205" s="533"/>
    </row>
    <row r="206" spans="1:20" ht="15">
      <c r="A206" s="465"/>
      <c r="B206" s="532"/>
      <c r="C206" s="532"/>
      <c r="D206" s="532"/>
      <c r="E206" s="465"/>
      <c r="F206" s="465"/>
      <c r="G206" s="465"/>
      <c r="H206" s="465"/>
      <c r="I206" s="465"/>
      <c r="J206" s="465"/>
      <c r="K206" s="465"/>
      <c r="L206" s="465"/>
      <c r="M206" s="465"/>
      <c r="N206" s="465"/>
      <c r="O206" s="532"/>
      <c r="P206" s="532"/>
      <c r="Q206" s="532"/>
      <c r="R206" s="533"/>
      <c r="S206" s="533"/>
      <c r="T206" s="533"/>
    </row>
    <row r="207" spans="1:20" ht="15">
      <c r="A207" s="465"/>
      <c r="B207" s="532"/>
      <c r="C207" s="532"/>
      <c r="D207" s="532"/>
      <c r="E207" s="465"/>
      <c r="F207" s="465"/>
      <c r="G207" s="465"/>
      <c r="H207" s="465"/>
      <c r="I207" s="465"/>
      <c r="J207" s="465"/>
      <c r="K207" s="465"/>
      <c r="L207" s="465"/>
      <c r="M207" s="465"/>
      <c r="N207" s="465"/>
      <c r="O207" s="532"/>
      <c r="P207" s="532"/>
      <c r="Q207" s="532"/>
      <c r="R207" s="533"/>
      <c r="S207" s="533"/>
      <c r="T207" s="533"/>
    </row>
    <row r="208" spans="1:20" ht="15">
      <c r="A208" s="465"/>
      <c r="B208" s="532"/>
      <c r="C208" s="532"/>
      <c r="D208" s="532"/>
      <c r="E208" s="465"/>
      <c r="F208" s="465"/>
      <c r="G208" s="465"/>
      <c r="H208" s="465"/>
      <c r="I208" s="465"/>
      <c r="J208" s="465"/>
      <c r="K208" s="465"/>
      <c r="L208" s="465"/>
      <c r="M208" s="465"/>
      <c r="N208" s="465"/>
      <c r="O208" s="532"/>
      <c r="P208" s="532"/>
      <c r="Q208" s="532"/>
      <c r="R208" s="533"/>
      <c r="S208" s="533"/>
      <c r="T208" s="533"/>
    </row>
    <row r="209" spans="1:20" ht="15">
      <c r="A209" s="465"/>
      <c r="B209" s="532"/>
      <c r="C209" s="532"/>
      <c r="D209" s="532"/>
      <c r="E209" s="465"/>
      <c r="F209" s="465"/>
      <c r="G209" s="465"/>
      <c r="H209" s="465"/>
      <c r="I209" s="465"/>
      <c r="J209" s="465"/>
      <c r="K209" s="465"/>
      <c r="L209" s="465"/>
      <c r="M209" s="465"/>
      <c r="N209" s="465"/>
      <c r="O209" s="532"/>
      <c r="P209" s="532"/>
      <c r="Q209" s="532"/>
      <c r="R209" s="533"/>
      <c r="S209" s="533"/>
      <c r="T209" s="533"/>
    </row>
    <row r="210" spans="1:20" ht="15">
      <c r="A210" s="465"/>
      <c r="B210" s="532"/>
      <c r="C210" s="532"/>
      <c r="D210" s="532"/>
      <c r="E210" s="465"/>
      <c r="F210" s="465"/>
      <c r="G210" s="465"/>
      <c r="H210" s="465"/>
      <c r="I210" s="465"/>
      <c r="J210" s="465"/>
      <c r="K210" s="465"/>
      <c r="L210" s="465"/>
      <c r="M210" s="465"/>
      <c r="N210" s="465"/>
      <c r="O210" s="532"/>
      <c r="P210" s="532"/>
      <c r="Q210" s="532"/>
      <c r="R210" s="533"/>
      <c r="S210" s="533"/>
      <c r="T210" s="533"/>
    </row>
    <row r="211" spans="1:20" ht="15">
      <c r="A211" s="465"/>
      <c r="B211" s="532"/>
      <c r="C211" s="532"/>
      <c r="D211" s="532"/>
      <c r="E211" s="465"/>
      <c r="F211" s="465"/>
      <c r="G211" s="465"/>
      <c r="H211" s="465"/>
      <c r="I211" s="465"/>
      <c r="J211" s="465"/>
      <c r="K211" s="465"/>
      <c r="L211" s="465"/>
      <c r="M211" s="465"/>
      <c r="N211" s="465"/>
      <c r="O211" s="532"/>
      <c r="P211" s="532"/>
      <c r="Q211" s="532"/>
      <c r="R211" s="533"/>
      <c r="S211" s="533"/>
      <c r="T211" s="533"/>
    </row>
    <row r="212" spans="1:20" ht="15">
      <c r="A212" s="465"/>
      <c r="B212" s="532"/>
      <c r="C212" s="532"/>
      <c r="D212" s="532"/>
      <c r="E212" s="465"/>
      <c r="F212" s="465"/>
      <c r="G212" s="465"/>
      <c r="H212" s="465"/>
      <c r="I212" s="465"/>
      <c r="J212" s="465"/>
      <c r="K212" s="465"/>
      <c r="L212" s="465"/>
      <c r="M212" s="465"/>
      <c r="N212" s="465"/>
      <c r="O212" s="532"/>
      <c r="P212" s="532"/>
      <c r="Q212" s="532"/>
      <c r="R212" s="533"/>
      <c r="S212" s="533"/>
      <c r="T212" s="533"/>
    </row>
    <row r="213" spans="1:20" ht="15">
      <c r="A213" s="465"/>
      <c r="B213" s="532"/>
      <c r="C213" s="532"/>
      <c r="D213" s="532"/>
      <c r="E213" s="465"/>
      <c r="F213" s="465"/>
      <c r="G213" s="465"/>
      <c r="H213" s="465"/>
      <c r="I213" s="465"/>
      <c r="J213" s="465"/>
      <c r="K213" s="465"/>
      <c r="L213" s="465"/>
      <c r="M213" s="465"/>
      <c r="N213" s="465"/>
      <c r="O213" s="532"/>
      <c r="P213" s="532"/>
      <c r="Q213" s="532"/>
      <c r="R213" s="533"/>
      <c r="S213" s="533"/>
      <c r="T213" s="533"/>
    </row>
    <row r="214" spans="1:20" ht="15">
      <c r="A214" s="465"/>
      <c r="B214" s="532"/>
      <c r="C214" s="532"/>
      <c r="D214" s="532"/>
      <c r="E214" s="465"/>
      <c r="F214" s="465"/>
      <c r="G214" s="465"/>
      <c r="H214" s="465"/>
      <c r="I214" s="465"/>
      <c r="J214" s="465"/>
      <c r="K214" s="465"/>
      <c r="L214" s="465"/>
      <c r="M214" s="465"/>
      <c r="N214" s="465"/>
      <c r="O214" s="532"/>
      <c r="P214" s="532"/>
      <c r="Q214" s="532"/>
      <c r="R214" s="533"/>
      <c r="S214" s="533"/>
      <c r="T214" s="533"/>
    </row>
    <row r="215" spans="1:20" ht="15">
      <c r="A215" s="465"/>
      <c r="B215" s="532"/>
      <c r="C215" s="532"/>
      <c r="D215" s="532"/>
      <c r="E215" s="465"/>
      <c r="F215" s="465"/>
      <c r="G215" s="465"/>
      <c r="H215" s="465"/>
      <c r="I215" s="465"/>
      <c r="J215" s="465"/>
      <c r="K215" s="465"/>
      <c r="L215" s="465"/>
      <c r="M215" s="465"/>
      <c r="N215" s="465"/>
      <c r="O215" s="532"/>
      <c r="P215" s="532"/>
      <c r="Q215" s="532"/>
      <c r="R215" s="533"/>
      <c r="S215" s="533"/>
      <c r="T215" s="533"/>
    </row>
    <row r="216" spans="1:20" ht="15">
      <c r="A216" s="465"/>
      <c r="B216" s="532"/>
      <c r="C216" s="532"/>
      <c r="D216" s="532"/>
      <c r="E216" s="465"/>
      <c r="F216" s="465"/>
      <c r="G216" s="465"/>
      <c r="H216" s="465"/>
      <c r="I216" s="465"/>
      <c r="J216" s="465"/>
      <c r="K216" s="465"/>
      <c r="L216" s="465"/>
      <c r="M216" s="465"/>
      <c r="N216" s="465"/>
      <c r="O216" s="532"/>
      <c r="P216" s="532"/>
      <c r="Q216" s="532"/>
      <c r="R216" s="533"/>
      <c r="S216" s="533"/>
      <c r="T216" s="533"/>
    </row>
    <row r="217" spans="1:20" ht="15">
      <c r="A217" s="465"/>
      <c r="B217" s="532"/>
      <c r="C217" s="532"/>
      <c r="D217" s="532"/>
      <c r="E217" s="465"/>
      <c r="F217" s="465"/>
      <c r="G217" s="465"/>
      <c r="H217" s="465"/>
      <c r="I217" s="465"/>
      <c r="J217" s="465"/>
      <c r="K217" s="465"/>
      <c r="L217" s="465"/>
      <c r="M217" s="465"/>
      <c r="N217" s="465"/>
      <c r="O217" s="532"/>
      <c r="P217" s="532"/>
      <c r="Q217" s="532"/>
      <c r="R217" s="533"/>
      <c r="S217" s="533"/>
      <c r="T217" s="533"/>
    </row>
    <row r="218" spans="1:20" ht="15">
      <c r="A218" s="465"/>
      <c r="B218" s="532"/>
      <c r="C218" s="532"/>
      <c r="D218" s="532"/>
      <c r="E218" s="465"/>
      <c r="F218" s="465"/>
      <c r="G218" s="465"/>
      <c r="H218" s="465"/>
      <c r="I218" s="465"/>
      <c r="J218" s="465"/>
      <c r="K218" s="465"/>
      <c r="L218" s="465"/>
      <c r="M218" s="465"/>
      <c r="N218" s="465"/>
      <c r="O218" s="532"/>
      <c r="P218" s="532"/>
      <c r="Q218" s="532"/>
      <c r="R218" s="533"/>
      <c r="S218" s="533"/>
      <c r="T218" s="533"/>
    </row>
    <row r="219" spans="1:20" ht="15">
      <c r="A219" s="465"/>
      <c r="B219" s="532"/>
      <c r="C219" s="532"/>
      <c r="D219" s="532"/>
      <c r="E219" s="465"/>
      <c r="F219" s="465"/>
      <c r="G219" s="465"/>
      <c r="H219" s="465"/>
      <c r="I219" s="465"/>
      <c r="J219" s="465"/>
      <c r="K219" s="465"/>
      <c r="L219" s="465"/>
      <c r="M219" s="465"/>
      <c r="N219" s="465"/>
      <c r="O219" s="532"/>
      <c r="P219" s="532"/>
      <c r="Q219" s="532"/>
      <c r="R219" s="533"/>
      <c r="S219" s="533"/>
      <c r="T219" s="533"/>
    </row>
    <row r="220" spans="1:20" ht="15">
      <c r="A220" s="465"/>
      <c r="B220" s="532"/>
      <c r="C220" s="532"/>
      <c r="D220" s="532"/>
      <c r="E220" s="465"/>
      <c r="F220" s="465"/>
      <c r="G220" s="465"/>
      <c r="H220" s="465"/>
      <c r="I220" s="465"/>
      <c r="J220" s="465"/>
      <c r="K220" s="465"/>
      <c r="L220" s="465"/>
      <c r="M220" s="465"/>
      <c r="N220" s="465"/>
      <c r="O220" s="532"/>
      <c r="P220" s="532"/>
      <c r="Q220" s="532"/>
      <c r="R220" s="533"/>
      <c r="S220" s="533"/>
      <c r="T220" s="533"/>
    </row>
    <row r="221" spans="1:20" ht="15">
      <c r="A221" s="465"/>
      <c r="B221" s="532"/>
      <c r="C221" s="532"/>
      <c r="D221" s="532"/>
      <c r="E221" s="465"/>
      <c r="F221" s="465"/>
      <c r="G221" s="465"/>
      <c r="H221" s="465"/>
      <c r="I221" s="465"/>
      <c r="J221" s="465"/>
      <c r="K221" s="465"/>
      <c r="L221" s="465"/>
      <c r="M221" s="465"/>
      <c r="N221" s="465"/>
      <c r="O221" s="532"/>
      <c r="P221" s="532"/>
      <c r="Q221" s="532"/>
      <c r="R221" s="533"/>
      <c r="S221" s="533"/>
      <c r="T221" s="533"/>
    </row>
    <row r="222" spans="1:20" ht="15">
      <c r="A222" s="465"/>
      <c r="B222" s="532"/>
      <c r="C222" s="532"/>
      <c r="D222" s="532"/>
      <c r="E222" s="465"/>
      <c r="F222" s="465"/>
      <c r="G222" s="465"/>
      <c r="H222" s="465"/>
      <c r="I222" s="465"/>
      <c r="J222" s="465"/>
      <c r="K222" s="465"/>
      <c r="L222" s="465"/>
      <c r="M222" s="465"/>
      <c r="N222" s="465"/>
      <c r="O222" s="532"/>
      <c r="P222" s="532"/>
      <c r="Q222" s="532"/>
      <c r="R222" s="533"/>
      <c r="S222" s="533"/>
      <c r="T222" s="533"/>
    </row>
    <row r="223" spans="1:20" ht="15">
      <c r="A223" s="465"/>
      <c r="B223" s="532"/>
      <c r="C223" s="532"/>
      <c r="D223" s="532"/>
      <c r="E223" s="465"/>
      <c r="F223" s="465"/>
      <c r="G223" s="465"/>
      <c r="H223" s="465"/>
      <c r="I223" s="465"/>
      <c r="J223" s="465"/>
      <c r="K223" s="465"/>
      <c r="L223" s="465"/>
      <c r="M223" s="465"/>
      <c r="N223" s="465"/>
      <c r="O223" s="532"/>
      <c r="P223" s="532"/>
      <c r="Q223" s="532"/>
      <c r="R223" s="533"/>
      <c r="S223" s="533"/>
      <c r="T223" s="533"/>
    </row>
    <row r="224" spans="1:20" ht="15">
      <c r="A224" s="465"/>
      <c r="B224" s="532"/>
      <c r="C224" s="532"/>
      <c r="D224" s="532"/>
      <c r="E224" s="465"/>
      <c r="F224" s="465"/>
      <c r="G224" s="465"/>
      <c r="H224" s="465"/>
      <c r="I224" s="465"/>
      <c r="J224" s="465"/>
      <c r="K224" s="465"/>
      <c r="L224" s="465"/>
      <c r="M224" s="465"/>
      <c r="N224" s="465"/>
      <c r="O224" s="532"/>
      <c r="P224" s="532"/>
      <c r="Q224" s="532"/>
      <c r="R224" s="533"/>
      <c r="S224" s="533"/>
      <c r="T224" s="533"/>
    </row>
    <row r="225" spans="1:20" ht="15">
      <c r="A225" s="465"/>
      <c r="B225" s="532"/>
      <c r="C225" s="532"/>
      <c r="D225" s="532"/>
      <c r="E225" s="465"/>
      <c r="F225" s="465"/>
      <c r="G225" s="465"/>
      <c r="H225" s="465"/>
      <c r="I225" s="465"/>
      <c r="J225" s="465"/>
      <c r="K225" s="465"/>
      <c r="L225" s="465"/>
      <c r="M225" s="465"/>
      <c r="N225" s="465"/>
      <c r="O225" s="532"/>
      <c r="P225" s="532"/>
      <c r="Q225" s="532"/>
      <c r="R225" s="533"/>
      <c r="S225" s="533"/>
      <c r="T225" s="533"/>
    </row>
    <row r="226" spans="1:20" ht="15">
      <c r="A226" s="465"/>
      <c r="B226" s="532"/>
      <c r="C226" s="532"/>
      <c r="D226" s="532"/>
      <c r="E226" s="465"/>
      <c r="F226" s="465"/>
      <c r="G226" s="465"/>
      <c r="H226" s="465"/>
      <c r="I226" s="465"/>
      <c r="J226" s="465"/>
      <c r="K226" s="465"/>
      <c r="L226" s="465"/>
      <c r="M226" s="465"/>
      <c r="N226" s="465"/>
      <c r="O226" s="532"/>
      <c r="P226" s="532"/>
      <c r="Q226" s="532"/>
      <c r="R226" s="533"/>
      <c r="S226" s="533"/>
      <c r="T226" s="533"/>
    </row>
    <row r="227" spans="1:20" ht="15">
      <c r="A227" s="465"/>
      <c r="B227" s="532"/>
      <c r="C227" s="532"/>
      <c r="D227" s="532"/>
      <c r="E227" s="465"/>
      <c r="F227" s="465"/>
      <c r="G227" s="465"/>
      <c r="H227" s="465"/>
      <c r="I227" s="465"/>
      <c r="J227" s="465"/>
      <c r="K227" s="465"/>
      <c r="L227" s="465"/>
      <c r="M227" s="465"/>
      <c r="N227" s="465"/>
      <c r="O227" s="532"/>
      <c r="P227" s="532"/>
      <c r="Q227" s="532"/>
      <c r="R227" s="533"/>
      <c r="S227" s="533"/>
      <c r="T227" s="533"/>
    </row>
    <row r="228" spans="1:20" ht="15">
      <c r="A228" s="465"/>
      <c r="B228" s="532"/>
      <c r="C228" s="532"/>
      <c r="D228" s="532"/>
      <c r="E228" s="465"/>
      <c r="F228" s="465"/>
      <c r="G228" s="465"/>
      <c r="H228" s="465"/>
      <c r="I228" s="465"/>
      <c r="J228" s="465"/>
      <c r="K228" s="465"/>
      <c r="L228" s="465"/>
      <c r="M228" s="465"/>
      <c r="N228" s="465"/>
      <c r="O228" s="532"/>
      <c r="P228" s="532"/>
      <c r="Q228" s="532"/>
      <c r="R228" s="533"/>
      <c r="S228" s="533"/>
      <c r="T228" s="533"/>
    </row>
    <row r="229" spans="1:20" ht="15">
      <c r="A229" s="465"/>
      <c r="B229" s="532"/>
      <c r="C229" s="532"/>
      <c r="D229" s="532"/>
      <c r="E229" s="465"/>
      <c r="F229" s="465"/>
      <c r="G229" s="465"/>
      <c r="H229" s="465"/>
      <c r="I229" s="465"/>
      <c r="J229" s="465"/>
      <c r="K229" s="465"/>
      <c r="L229" s="465"/>
      <c r="M229" s="465"/>
      <c r="N229" s="465"/>
      <c r="O229" s="532"/>
      <c r="P229" s="532"/>
      <c r="Q229" s="532"/>
      <c r="R229" s="533"/>
      <c r="S229" s="533"/>
      <c r="T229" s="533"/>
    </row>
    <row r="230" spans="1:20" ht="15">
      <c r="A230" s="465"/>
      <c r="B230" s="532"/>
      <c r="C230" s="532"/>
      <c r="D230" s="532"/>
      <c r="E230" s="465"/>
      <c r="F230" s="465"/>
      <c r="G230" s="465"/>
      <c r="H230" s="465"/>
      <c r="I230" s="465"/>
      <c r="J230" s="465"/>
      <c r="K230" s="465"/>
      <c r="L230" s="465"/>
      <c r="M230" s="465"/>
      <c r="N230" s="465"/>
      <c r="O230" s="532"/>
      <c r="P230" s="532"/>
      <c r="Q230" s="532"/>
      <c r="R230" s="533"/>
      <c r="S230" s="533"/>
      <c r="T230" s="533"/>
    </row>
    <row r="231" spans="1:20" ht="15">
      <c r="A231" s="465"/>
      <c r="B231" s="532"/>
      <c r="C231" s="532"/>
      <c r="D231" s="532"/>
      <c r="E231" s="465"/>
      <c r="F231" s="465"/>
      <c r="G231" s="465"/>
      <c r="H231" s="465"/>
      <c r="I231" s="465"/>
      <c r="J231" s="465"/>
      <c r="K231" s="465"/>
      <c r="L231" s="465"/>
      <c r="M231" s="465"/>
      <c r="N231" s="465"/>
      <c r="O231" s="532"/>
      <c r="P231" s="532"/>
      <c r="Q231" s="532"/>
      <c r="R231" s="533"/>
      <c r="S231" s="533"/>
      <c r="T231" s="533"/>
    </row>
    <row r="232" spans="1:20" ht="15">
      <c r="A232" s="465"/>
      <c r="B232" s="532"/>
      <c r="C232" s="532"/>
      <c r="D232" s="532"/>
      <c r="E232" s="465"/>
      <c r="F232" s="465"/>
      <c r="G232" s="465"/>
      <c r="H232" s="465"/>
      <c r="I232" s="465"/>
      <c r="J232" s="465"/>
      <c r="K232" s="465"/>
      <c r="L232" s="465"/>
      <c r="M232" s="465"/>
      <c r="N232" s="465"/>
      <c r="O232" s="532"/>
      <c r="P232" s="532"/>
      <c r="Q232" s="532"/>
      <c r="R232" s="533"/>
      <c r="S232" s="533"/>
      <c r="T232" s="533"/>
    </row>
    <row r="233" spans="1:20" ht="15">
      <c r="A233" s="465"/>
      <c r="B233" s="532"/>
      <c r="C233" s="532"/>
      <c r="D233" s="532"/>
      <c r="E233" s="465"/>
      <c r="F233" s="465"/>
      <c r="G233" s="465"/>
      <c r="H233" s="465"/>
      <c r="I233" s="465"/>
      <c r="J233" s="465"/>
      <c r="K233" s="465"/>
      <c r="L233" s="465"/>
      <c r="M233" s="465"/>
      <c r="N233" s="465"/>
      <c r="O233" s="532"/>
      <c r="P233" s="532"/>
      <c r="Q233" s="532"/>
      <c r="R233" s="533"/>
      <c r="S233" s="533"/>
      <c r="T233" s="533"/>
    </row>
    <row r="234" spans="1:20" ht="15">
      <c r="A234" s="465"/>
      <c r="B234" s="532"/>
      <c r="C234" s="532"/>
      <c r="D234" s="532"/>
      <c r="E234" s="465"/>
      <c r="F234" s="465"/>
      <c r="G234" s="465"/>
      <c r="H234" s="465"/>
      <c r="I234" s="465"/>
      <c r="J234" s="465"/>
      <c r="K234" s="465"/>
      <c r="L234" s="465"/>
      <c r="M234" s="465"/>
      <c r="N234" s="465"/>
      <c r="O234" s="532"/>
      <c r="P234" s="532"/>
      <c r="Q234" s="532"/>
      <c r="R234" s="533"/>
      <c r="S234" s="533"/>
      <c r="T234" s="533"/>
    </row>
    <row r="235" spans="1:20" ht="15">
      <c r="A235" s="465"/>
      <c r="B235" s="532"/>
      <c r="C235" s="532"/>
      <c r="D235" s="532"/>
      <c r="E235" s="465"/>
      <c r="F235" s="465"/>
      <c r="G235" s="465"/>
      <c r="H235" s="465"/>
      <c r="I235" s="465"/>
      <c r="J235" s="465"/>
      <c r="K235" s="465"/>
      <c r="L235" s="465"/>
      <c r="M235" s="465"/>
      <c r="N235" s="465"/>
      <c r="O235" s="532"/>
      <c r="P235" s="532"/>
      <c r="Q235" s="532"/>
      <c r="R235" s="533"/>
      <c r="S235" s="533"/>
      <c r="T235" s="533"/>
    </row>
    <row r="236" spans="1:20" ht="15">
      <c r="A236" s="465"/>
      <c r="B236" s="532"/>
      <c r="C236" s="532"/>
      <c r="D236" s="532"/>
      <c r="E236" s="465"/>
      <c r="F236" s="465"/>
      <c r="G236" s="465"/>
      <c r="H236" s="465"/>
      <c r="I236" s="465"/>
      <c r="J236" s="465"/>
      <c r="K236" s="465"/>
      <c r="L236" s="465"/>
      <c r="M236" s="465"/>
      <c r="N236" s="465"/>
      <c r="O236" s="532"/>
      <c r="P236" s="532"/>
      <c r="Q236" s="532"/>
      <c r="R236" s="533"/>
      <c r="S236" s="533"/>
      <c r="T236" s="533"/>
    </row>
    <row r="237" spans="1:20" ht="15">
      <c r="A237" s="465"/>
      <c r="B237" s="532"/>
      <c r="C237" s="532"/>
      <c r="D237" s="532"/>
      <c r="E237" s="465"/>
      <c r="F237" s="465"/>
      <c r="G237" s="465"/>
      <c r="H237" s="465"/>
      <c r="I237" s="465"/>
      <c r="J237" s="465"/>
      <c r="K237" s="465"/>
      <c r="L237" s="465"/>
      <c r="M237" s="465"/>
      <c r="N237" s="465"/>
      <c r="O237" s="532"/>
      <c r="P237" s="532"/>
      <c r="Q237" s="532"/>
      <c r="R237" s="533"/>
      <c r="S237" s="533"/>
      <c r="T237" s="533"/>
    </row>
    <row r="238" spans="1:20" ht="15">
      <c r="A238" s="465"/>
      <c r="B238" s="532"/>
      <c r="C238" s="532"/>
      <c r="D238" s="532"/>
      <c r="E238" s="465"/>
      <c r="F238" s="465"/>
      <c r="G238" s="465"/>
      <c r="H238" s="465"/>
      <c r="I238" s="465"/>
      <c r="J238" s="465"/>
      <c r="K238" s="465"/>
      <c r="L238" s="465"/>
      <c r="M238" s="465"/>
      <c r="N238" s="465"/>
      <c r="O238" s="532"/>
      <c r="P238" s="532"/>
      <c r="Q238" s="532"/>
      <c r="R238" s="533"/>
      <c r="S238" s="533"/>
      <c r="T238" s="533"/>
    </row>
    <row r="239" spans="1:20" ht="15">
      <c r="A239" s="465"/>
      <c r="B239" s="532"/>
      <c r="C239" s="532"/>
      <c r="D239" s="532"/>
      <c r="E239" s="465"/>
      <c r="F239" s="465"/>
      <c r="G239" s="465"/>
      <c r="H239" s="465"/>
      <c r="I239" s="465"/>
      <c r="J239" s="465"/>
      <c r="K239" s="465"/>
      <c r="L239" s="465"/>
      <c r="M239" s="465"/>
      <c r="N239" s="465"/>
      <c r="O239" s="532"/>
      <c r="P239" s="532"/>
      <c r="Q239" s="532"/>
      <c r="R239" s="533"/>
      <c r="S239" s="533"/>
      <c r="T239" s="533"/>
    </row>
    <row r="240" spans="1:20" ht="15">
      <c r="A240" s="465"/>
      <c r="B240" s="532"/>
      <c r="C240" s="532"/>
      <c r="D240" s="532"/>
      <c r="E240" s="465"/>
      <c r="F240" s="465"/>
      <c r="G240" s="465"/>
      <c r="H240" s="465"/>
      <c r="I240" s="465"/>
      <c r="J240" s="465"/>
      <c r="K240" s="465"/>
      <c r="L240" s="465"/>
      <c r="M240" s="465"/>
      <c r="N240" s="465"/>
      <c r="O240" s="532"/>
      <c r="P240" s="532"/>
      <c r="Q240" s="532"/>
      <c r="R240" s="533"/>
      <c r="S240" s="533"/>
      <c r="T240" s="533"/>
    </row>
    <row r="241" spans="1:20" ht="15">
      <c r="A241" s="465"/>
      <c r="B241" s="532"/>
      <c r="C241" s="532"/>
      <c r="D241" s="532"/>
      <c r="E241" s="465"/>
      <c r="F241" s="465"/>
      <c r="G241" s="465"/>
      <c r="H241" s="465"/>
      <c r="I241" s="465"/>
      <c r="J241" s="465"/>
      <c r="K241" s="465"/>
      <c r="L241" s="465"/>
      <c r="M241" s="465"/>
      <c r="N241" s="465"/>
      <c r="O241" s="532"/>
      <c r="P241" s="532"/>
      <c r="Q241" s="532"/>
      <c r="R241" s="533"/>
      <c r="S241" s="533"/>
      <c r="T241" s="533"/>
    </row>
    <row r="242" spans="1:20" ht="15">
      <c r="A242" s="465"/>
      <c r="B242" s="532"/>
      <c r="C242" s="532"/>
      <c r="D242" s="532"/>
      <c r="E242" s="465"/>
      <c r="F242" s="465"/>
      <c r="G242" s="465"/>
      <c r="H242" s="465"/>
      <c r="I242" s="465"/>
      <c r="J242" s="465"/>
      <c r="K242" s="465"/>
      <c r="L242" s="465"/>
      <c r="M242" s="465"/>
      <c r="N242" s="465"/>
      <c r="O242" s="532"/>
      <c r="P242" s="532"/>
      <c r="Q242" s="532"/>
      <c r="R242" s="533"/>
      <c r="S242" s="533"/>
      <c r="T242" s="533"/>
    </row>
    <row r="243" spans="1:20" ht="15">
      <c r="A243" s="465"/>
      <c r="B243" s="532"/>
      <c r="C243" s="532"/>
      <c r="D243" s="532"/>
      <c r="E243" s="465"/>
      <c r="F243" s="465"/>
      <c r="G243" s="465"/>
      <c r="H243" s="465"/>
      <c r="I243" s="465"/>
      <c r="J243" s="465"/>
      <c r="K243" s="465"/>
      <c r="L243" s="465"/>
      <c r="M243" s="465"/>
      <c r="N243" s="465"/>
      <c r="O243" s="532"/>
      <c r="P243" s="532"/>
      <c r="Q243" s="532"/>
      <c r="R243" s="533"/>
      <c r="S243" s="533"/>
      <c r="T243" s="533"/>
    </row>
  </sheetData>
  <sheetProtection password="C651" sheet="1"/>
  <mergeCells count="162">
    <mergeCell ref="F3:P3"/>
    <mergeCell ref="I4:N4"/>
    <mergeCell ref="I5:J5"/>
    <mergeCell ref="K5:L5"/>
    <mergeCell ref="M5:N5"/>
    <mergeCell ref="E6:H6"/>
    <mergeCell ref="I6:J6"/>
    <mergeCell ref="K6:L6"/>
    <mergeCell ref="M6:N6"/>
    <mergeCell ref="Q6:U7"/>
    <mergeCell ref="E7:H7"/>
    <mergeCell ref="I7:J7"/>
    <mergeCell ref="K7:L7"/>
    <mergeCell ref="M7:N7"/>
    <mergeCell ref="E8:H8"/>
    <mergeCell ref="I8:J8"/>
    <mergeCell ref="K8:L8"/>
    <mergeCell ref="M8:N8"/>
    <mergeCell ref="Q8:U8"/>
    <mergeCell ref="E9:H9"/>
    <mergeCell ref="I9:J9"/>
    <mergeCell ref="K9:L9"/>
    <mergeCell ref="M9:N9"/>
    <mergeCell ref="E10:H10"/>
    <mergeCell ref="I10:J10"/>
    <mergeCell ref="K10:L10"/>
    <mergeCell ref="M10:N10"/>
    <mergeCell ref="E11:H11"/>
    <mergeCell ref="I11:J11"/>
    <mergeCell ref="K11:L11"/>
    <mergeCell ref="M11:N11"/>
    <mergeCell ref="E12:H12"/>
    <mergeCell ref="I12:J12"/>
    <mergeCell ref="K12:L12"/>
    <mergeCell ref="M12:N12"/>
    <mergeCell ref="E13:H13"/>
    <mergeCell ref="I13:J13"/>
    <mergeCell ref="K13:L13"/>
    <mergeCell ref="M13:N13"/>
    <mergeCell ref="E14:H14"/>
    <mergeCell ref="I14:J14"/>
    <mergeCell ref="K14:L14"/>
    <mergeCell ref="M14:N14"/>
    <mergeCell ref="E15:H15"/>
    <mergeCell ref="I15:J15"/>
    <mergeCell ref="K15:L15"/>
    <mergeCell ref="M15:N15"/>
    <mergeCell ref="D16:N16"/>
    <mergeCell ref="O16:U16"/>
    <mergeCell ref="A18:N18"/>
    <mergeCell ref="O18:U18"/>
    <mergeCell ref="C19:N19"/>
    <mergeCell ref="O19:U19"/>
    <mergeCell ref="C20:N20"/>
    <mergeCell ref="R20:U20"/>
    <mergeCell ref="A21:N21"/>
    <mergeCell ref="O21:U21"/>
    <mergeCell ref="D22:N22"/>
    <mergeCell ref="O22:S22"/>
    <mergeCell ref="T22:U24"/>
    <mergeCell ref="D23:N23"/>
    <mergeCell ref="O23:S23"/>
    <mergeCell ref="D24:N24"/>
    <mergeCell ref="D25:N25"/>
    <mergeCell ref="D26:N26"/>
    <mergeCell ref="D27:N27"/>
    <mergeCell ref="D28:N28"/>
    <mergeCell ref="D29:N29"/>
    <mergeCell ref="D30:N30"/>
    <mergeCell ref="O30:U30"/>
    <mergeCell ref="A31:N31"/>
    <mergeCell ref="A32:N32"/>
    <mergeCell ref="E33:N33"/>
    <mergeCell ref="O33:U33"/>
    <mergeCell ref="E34:N34"/>
    <mergeCell ref="S34:U34"/>
    <mergeCell ref="E35:N35"/>
    <mergeCell ref="O35:U35"/>
    <mergeCell ref="A36:N36"/>
    <mergeCell ref="O36:U36"/>
    <mergeCell ref="F37:N37"/>
    <mergeCell ref="O37:U37"/>
    <mergeCell ref="F38:N38"/>
    <mergeCell ref="O38:S38"/>
    <mergeCell ref="T38:U38"/>
    <mergeCell ref="A39:N39"/>
    <mergeCell ref="O39:U39"/>
    <mergeCell ref="H40:N40"/>
    <mergeCell ref="O40:U40"/>
    <mergeCell ref="H41:N41"/>
    <mergeCell ref="O41:U41"/>
    <mergeCell ref="A42:N42"/>
    <mergeCell ref="O42:U42"/>
    <mergeCell ref="I43:N43"/>
    <mergeCell ref="O43:U43"/>
    <mergeCell ref="I44:N44"/>
    <mergeCell ref="O44:U44"/>
    <mergeCell ref="I45:N45"/>
    <mergeCell ref="O45:U45"/>
    <mergeCell ref="I46:N46"/>
    <mergeCell ref="O46:U46"/>
    <mergeCell ref="A47:N47"/>
    <mergeCell ref="O47:U47"/>
    <mergeCell ref="J48:N48"/>
    <mergeCell ref="O48:U48"/>
    <mergeCell ref="J49:N49"/>
    <mergeCell ref="O49:S49"/>
    <mergeCell ref="A50:N50"/>
    <mergeCell ref="O50:U50"/>
    <mergeCell ref="K51:N51"/>
    <mergeCell ref="O51:U51"/>
    <mergeCell ref="K53:N53"/>
    <mergeCell ref="O53:U53"/>
    <mergeCell ref="K52:N52"/>
    <mergeCell ref="O52:U52"/>
    <mergeCell ref="K54:N54"/>
    <mergeCell ref="O54:U54"/>
    <mergeCell ref="A55:I55"/>
    <mergeCell ref="K55:N55"/>
    <mergeCell ref="O55:U55"/>
    <mergeCell ref="A56:I56"/>
    <mergeCell ref="K56:N56"/>
    <mergeCell ref="O56:U56"/>
    <mergeCell ref="A57:I57"/>
    <mergeCell ref="K57:N57"/>
    <mergeCell ref="O57:U57"/>
    <mergeCell ref="A58:I58"/>
    <mergeCell ref="K58:N58"/>
    <mergeCell ref="O58:U58"/>
    <mergeCell ref="A59:I59"/>
    <mergeCell ref="K59:N59"/>
    <mergeCell ref="O59:U59"/>
    <mergeCell ref="K60:N60"/>
    <mergeCell ref="O60:U60"/>
    <mergeCell ref="K61:N61"/>
    <mergeCell ref="O61:U61"/>
    <mergeCell ref="A62:J62"/>
    <mergeCell ref="L63:U63"/>
    <mergeCell ref="A65:N65"/>
    <mergeCell ref="A66:J66"/>
    <mergeCell ref="K66:M66"/>
    <mergeCell ref="A67:J67"/>
    <mergeCell ref="K67:M67"/>
    <mergeCell ref="O67:U67"/>
    <mergeCell ref="A68:J68"/>
    <mergeCell ref="K68:M68"/>
    <mergeCell ref="O68:U68"/>
    <mergeCell ref="A69:J69"/>
    <mergeCell ref="K69:M69"/>
    <mergeCell ref="O69:U69"/>
    <mergeCell ref="A70:J70"/>
    <mergeCell ref="K70:M70"/>
    <mergeCell ref="O70:U70"/>
    <mergeCell ref="A71:J71"/>
    <mergeCell ref="K71:M71"/>
    <mergeCell ref="O71:U71"/>
    <mergeCell ref="A72:J72"/>
    <mergeCell ref="K72:M72"/>
    <mergeCell ref="O72:U72"/>
    <mergeCell ref="A73:J73"/>
    <mergeCell ref="K73:M73"/>
    <mergeCell ref="O73:U73"/>
  </mergeCells>
  <hyperlinks>
    <hyperlink ref="S2" r:id="rId1" display="www.darkont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Z74"/>
  <sheetViews>
    <sheetView showGridLines="0" zoomScalePageLayoutView="0" workbookViewId="0" topLeftCell="E1">
      <selection activeCell="X7" sqref="X7"/>
    </sheetView>
  </sheetViews>
  <sheetFormatPr defaultColWidth="9.140625" defaultRowHeight="15"/>
  <cols>
    <col min="2" max="2" width="7.421875" style="0" customWidth="1"/>
    <col min="3" max="3" width="3.00390625" style="0" customWidth="1"/>
    <col min="4" max="4" width="4.140625" style="0" customWidth="1"/>
    <col min="5" max="5" width="0.9921875" style="0" customWidth="1"/>
    <col min="6" max="6" width="3.7109375" style="0" customWidth="1"/>
    <col min="7" max="7" width="4.00390625" style="0" customWidth="1"/>
    <col min="8" max="8" width="3.8515625" style="0" customWidth="1"/>
    <col min="9" max="9" width="0.71875" style="0" customWidth="1"/>
    <col min="10" max="10" width="4.7109375" style="0" customWidth="1"/>
    <col min="11" max="11" width="2.00390625" style="0" customWidth="1"/>
    <col min="12" max="12" width="3.421875" style="0" customWidth="1"/>
    <col min="13" max="13" width="0.71875" style="0" customWidth="1"/>
    <col min="14" max="14" width="3.421875" style="0" customWidth="1"/>
    <col min="15" max="15" width="0.71875" style="0" customWidth="1"/>
    <col min="16" max="16" width="3.7109375" style="0" customWidth="1"/>
    <col min="17" max="17" width="0.9921875" style="0" customWidth="1"/>
    <col min="18" max="18" width="4.00390625" style="0" customWidth="1"/>
    <col min="21" max="21" width="12.57421875" style="0" customWidth="1"/>
    <col min="22" max="22" width="14.421875" style="0" customWidth="1"/>
    <col min="23" max="23" width="13.421875" style="0" customWidth="1"/>
    <col min="24" max="24" width="10.28125" style="0" customWidth="1"/>
    <col min="25" max="25" width="11.140625" style="0" customWidth="1"/>
    <col min="26" max="26" width="1.421875" style="0" customWidth="1"/>
  </cols>
  <sheetData>
    <row r="1" spans="1:26" ht="17.25" customHeight="1">
      <c r="A1" s="844"/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  <c r="S1" s="844"/>
      <c r="T1" s="844"/>
      <c r="U1" s="844"/>
      <c r="V1" s="844"/>
      <c r="W1" s="480"/>
      <c r="X1" s="845" t="s">
        <v>152</v>
      </c>
      <c r="Y1" s="844"/>
      <c r="Z1" s="844"/>
    </row>
    <row r="2" spans="1:26" ht="15" customHeight="1">
      <c r="A2" s="846"/>
      <c r="B2" s="847"/>
      <c r="C2" s="848"/>
      <c r="D2" s="848"/>
      <c r="E2" s="848"/>
      <c r="F2" s="848"/>
      <c r="G2" s="848"/>
      <c r="H2" s="848"/>
      <c r="I2" s="848"/>
      <c r="J2" s="848"/>
      <c r="K2" s="849" t="s">
        <v>470</v>
      </c>
      <c r="L2" s="848"/>
      <c r="M2" s="848"/>
      <c r="N2" s="847"/>
      <c r="O2" s="848"/>
      <c r="P2" s="848"/>
      <c r="Q2" s="848"/>
      <c r="R2" s="850"/>
      <c r="S2" s="850"/>
      <c r="T2" s="850"/>
      <c r="U2" s="851"/>
      <c r="V2" s="848"/>
      <c r="W2" s="480"/>
      <c r="X2" s="818" t="s">
        <v>165</v>
      </c>
      <c r="Y2" s="852"/>
      <c r="Z2" s="848"/>
    </row>
    <row r="3" spans="1:26" ht="14.25" customHeight="1">
      <c r="A3" s="846"/>
      <c r="B3" s="847"/>
      <c r="C3" s="848"/>
      <c r="D3" s="848"/>
      <c r="E3" s="848"/>
      <c r="F3" s="848"/>
      <c r="G3" s="848"/>
      <c r="H3" s="848"/>
      <c r="I3" s="848"/>
      <c r="J3" s="848"/>
      <c r="K3" s="848"/>
      <c r="L3" s="836" t="s">
        <v>471</v>
      </c>
      <c r="M3" s="853"/>
      <c r="N3" s="836"/>
      <c r="O3" s="853"/>
      <c r="P3" s="853"/>
      <c r="Q3" s="853"/>
      <c r="R3" s="854"/>
      <c r="S3" s="854"/>
      <c r="T3" s="854"/>
      <c r="U3" s="855"/>
      <c r="V3" s="853"/>
      <c r="W3" s="480"/>
      <c r="X3" s="963" t="s">
        <v>624</v>
      </c>
      <c r="Y3" s="852"/>
      <c r="Z3" s="848"/>
    </row>
    <row r="4" spans="1:26" s="539" customFormat="1" ht="12">
      <c r="A4" s="536"/>
      <c r="B4" s="856" t="s">
        <v>472</v>
      </c>
      <c r="C4" s="1553" t="s">
        <v>473</v>
      </c>
      <c r="D4" s="1254"/>
      <c r="E4" s="1254"/>
      <c r="F4" s="1254"/>
      <c r="G4" s="1254"/>
      <c r="H4" s="1254"/>
      <c r="I4" s="1254"/>
      <c r="J4" s="1254"/>
      <c r="K4" s="1254"/>
      <c r="L4" s="1254"/>
      <c r="M4" s="1254"/>
      <c r="N4" s="1254"/>
      <c r="O4" s="1254"/>
      <c r="P4" s="1254"/>
      <c r="Q4" s="1254"/>
      <c r="R4" s="1254"/>
      <c r="S4" s="1254"/>
      <c r="T4" s="1254"/>
      <c r="U4" s="1254"/>
      <c r="V4" s="1254"/>
      <c r="W4" s="1254"/>
      <c r="X4" s="863" t="s">
        <v>472</v>
      </c>
      <c r="Y4" s="537"/>
      <c r="Z4" s="538"/>
    </row>
    <row r="5" spans="1:26" ht="11.25" customHeight="1">
      <c r="A5" s="406"/>
      <c r="B5" s="857" t="s">
        <v>474</v>
      </c>
      <c r="C5" s="1253" t="s">
        <v>475</v>
      </c>
      <c r="D5" s="1254"/>
      <c r="E5" s="1254"/>
      <c r="F5" s="1254"/>
      <c r="G5" s="1254"/>
      <c r="H5" s="1254"/>
      <c r="I5" s="1254"/>
      <c r="J5" s="1254"/>
      <c r="K5" s="1254"/>
      <c r="L5" s="1254"/>
      <c r="M5" s="1254"/>
      <c r="N5" s="1254"/>
      <c r="O5" s="1254"/>
      <c r="P5" s="1254"/>
      <c r="Q5" s="1254"/>
      <c r="R5" s="1254"/>
      <c r="S5" s="1254"/>
      <c r="T5" s="1254"/>
      <c r="U5" s="1254"/>
      <c r="V5" s="1254"/>
      <c r="W5" s="1255"/>
      <c r="X5" s="540"/>
      <c r="Y5" s="1088" t="s">
        <v>474</v>
      </c>
      <c r="Z5" s="1"/>
    </row>
    <row r="6" spans="1:26" ht="15">
      <c r="A6" s="391"/>
      <c r="B6" s="541"/>
      <c r="C6" s="537"/>
      <c r="D6" s="542"/>
      <c r="E6" s="542"/>
      <c r="F6" s="543" t="s">
        <v>69</v>
      </c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2"/>
      <c r="X6" s="1564" t="s">
        <v>174</v>
      </c>
      <c r="Y6" s="1565"/>
      <c r="Z6" s="1"/>
    </row>
    <row r="7" spans="1:26" ht="15">
      <c r="A7" s="391"/>
      <c r="B7" s="541"/>
      <c r="C7" s="537"/>
      <c r="D7" s="858" t="s">
        <v>32</v>
      </c>
      <c r="E7" s="1566" t="s">
        <v>476</v>
      </c>
      <c r="F7" s="1273"/>
      <c r="G7" s="1273"/>
      <c r="H7" s="1273"/>
      <c r="I7" s="1273"/>
      <c r="J7" s="1273"/>
      <c r="K7" s="1273"/>
      <c r="L7" s="1273"/>
      <c r="M7" s="1273"/>
      <c r="N7" s="1273"/>
      <c r="O7" s="1273"/>
      <c r="P7" s="1273"/>
      <c r="Q7" s="1273"/>
      <c r="R7" s="1273"/>
      <c r="S7" s="1273"/>
      <c r="T7" s="1273"/>
      <c r="U7" s="1273"/>
      <c r="V7" s="1273"/>
      <c r="W7" s="1274"/>
      <c r="X7" s="544">
        <f>Лист1!A1*20600</f>
        <v>22660.000000000004</v>
      </c>
      <c r="Y7" s="545">
        <f>Лист1!A1*23900</f>
        <v>26290.000000000004</v>
      </c>
      <c r="Z7" s="1"/>
    </row>
    <row r="8" spans="1:26" ht="15">
      <c r="A8" s="391"/>
      <c r="B8" s="541"/>
      <c r="C8" s="537"/>
      <c r="D8" s="546"/>
      <c r="E8" s="537"/>
      <c r="F8" s="542"/>
      <c r="G8" s="537"/>
      <c r="H8" s="547" t="s">
        <v>477</v>
      </c>
      <c r="I8" s="537"/>
      <c r="J8" s="537"/>
      <c r="K8" s="537"/>
      <c r="L8" s="537"/>
      <c r="M8" s="537"/>
      <c r="N8" s="537"/>
      <c r="O8" s="537"/>
      <c r="P8" s="537"/>
      <c r="Q8" s="537"/>
      <c r="R8" s="542"/>
      <c r="S8" s="548"/>
      <c r="T8" s="548"/>
      <c r="U8" s="548"/>
      <c r="V8" s="548"/>
      <c r="W8" s="548"/>
      <c r="X8" s="549" t="s">
        <v>178</v>
      </c>
      <c r="Y8" s="550"/>
      <c r="Z8" s="1"/>
    </row>
    <row r="9" spans="1:26" ht="15">
      <c r="A9" s="391"/>
      <c r="B9" s="541"/>
      <c r="C9" s="537"/>
      <c r="D9" s="546"/>
      <c r="E9" s="537"/>
      <c r="F9" s="859">
        <v>1</v>
      </c>
      <c r="G9" s="1566" t="s">
        <v>640</v>
      </c>
      <c r="H9" s="1254"/>
      <c r="I9" s="1566"/>
      <c r="J9" s="1566"/>
      <c r="K9" s="1566"/>
      <c r="L9" s="1566"/>
      <c r="M9" s="1566"/>
      <c r="N9" s="1566"/>
      <c r="O9" s="1566"/>
      <c r="P9" s="1566"/>
      <c r="Q9" s="1566"/>
      <c r="R9" s="1566"/>
      <c r="S9" s="1566"/>
      <c r="T9" s="1566"/>
      <c r="U9" s="1566"/>
      <c r="V9" s="1566"/>
      <c r="W9" s="1567"/>
      <c r="X9" s="1572">
        <f>Лист1!A1*2850</f>
        <v>3135.0000000000005</v>
      </c>
      <c r="Y9" s="1573"/>
      <c r="Z9" s="1"/>
    </row>
    <row r="10" spans="1:26" ht="15">
      <c r="A10" s="391"/>
      <c r="B10" s="541"/>
      <c r="C10" s="537"/>
      <c r="D10" s="546"/>
      <c r="E10" s="537"/>
      <c r="F10" s="860">
        <v>2</v>
      </c>
      <c r="G10" s="1566" t="s">
        <v>639</v>
      </c>
      <c r="H10" s="1254"/>
      <c r="I10" s="1566"/>
      <c r="J10" s="1566"/>
      <c r="K10" s="1566"/>
      <c r="L10" s="1566"/>
      <c r="M10" s="1566"/>
      <c r="N10" s="1566"/>
      <c r="O10" s="1566"/>
      <c r="P10" s="1566"/>
      <c r="Q10" s="1566"/>
      <c r="R10" s="1566"/>
      <c r="S10" s="1566"/>
      <c r="T10" s="1566"/>
      <c r="U10" s="1566"/>
      <c r="V10" s="1566"/>
      <c r="W10" s="1567"/>
      <c r="X10" s="1570" t="s">
        <v>36</v>
      </c>
      <c r="Y10" s="1571"/>
      <c r="Z10" s="1"/>
    </row>
    <row r="11" spans="1:26" ht="15">
      <c r="A11" s="541"/>
      <c r="B11" s="541"/>
      <c r="C11" s="537"/>
      <c r="D11" s="546"/>
      <c r="E11" s="537"/>
      <c r="F11" s="546"/>
      <c r="G11" s="537"/>
      <c r="H11" s="542"/>
      <c r="I11" s="537"/>
      <c r="J11" s="547" t="s">
        <v>478</v>
      </c>
      <c r="K11" s="537"/>
      <c r="L11" s="537"/>
      <c r="M11" s="537"/>
      <c r="N11" s="537"/>
      <c r="O11" s="537"/>
      <c r="P11" s="537"/>
      <c r="Q11" s="537"/>
      <c r="R11" s="542"/>
      <c r="S11" s="551"/>
      <c r="T11" s="551"/>
      <c r="U11" s="551"/>
      <c r="V11" s="551"/>
      <c r="W11" s="551"/>
      <c r="X11" s="552"/>
      <c r="Y11" s="553"/>
      <c r="Z11" s="1"/>
    </row>
    <row r="12" spans="1:26" ht="15">
      <c r="A12" s="391"/>
      <c r="B12" s="541"/>
      <c r="C12" s="537"/>
      <c r="D12" s="546"/>
      <c r="E12" s="537"/>
      <c r="F12" s="546"/>
      <c r="G12" s="537"/>
      <c r="H12" s="861">
        <v>1</v>
      </c>
      <c r="I12" s="554"/>
      <c r="J12" s="1568" t="s">
        <v>479</v>
      </c>
      <c r="K12" s="1254"/>
      <c r="L12" s="1254"/>
      <c r="M12" s="1254"/>
      <c r="N12" s="1254"/>
      <c r="O12" s="1254"/>
      <c r="P12" s="1254"/>
      <c r="Q12" s="1254"/>
      <c r="R12" s="1254"/>
      <c r="S12" s="1254"/>
      <c r="T12" s="1254"/>
      <c r="U12" s="1254"/>
      <c r="V12" s="1254"/>
      <c r="W12" s="1255"/>
      <c r="X12" s="555" t="s">
        <v>36</v>
      </c>
      <c r="Y12" s="322"/>
      <c r="Z12" s="1"/>
    </row>
    <row r="13" spans="1:26" ht="15">
      <c r="A13" s="391"/>
      <c r="B13" s="541"/>
      <c r="C13" s="537"/>
      <c r="D13" s="546"/>
      <c r="E13" s="537"/>
      <c r="F13" s="546"/>
      <c r="G13" s="537"/>
      <c r="H13" s="862">
        <v>2</v>
      </c>
      <c r="I13" s="556"/>
      <c r="J13" s="1569" t="s">
        <v>480</v>
      </c>
      <c r="K13" s="1254"/>
      <c r="L13" s="1254"/>
      <c r="M13" s="1254"/>
      <c r="N13" s="1254"/>
      <c r="O13" s="1254"/>
      <c r="P13" s="1254"/>
      <c r="Q13" s="1254"/>
      <c r="R13" s="1254"/>
      <c r="S13" s="1254"/>
      <c r="T13" s="1254"/>
      <c r="U13" s="1254"/>
      <c r="V13" s="1254"/>
      <c r="W13" s="1255"/>
      <c r="X13" s="555" t="s">
        <v>36</v>
      </c>
      <c r="Y13" s="322"/>
      <c r="Z13" s="1"/>
    </row>
    <row r="14" spans="1:26" ht="15">
      <c r="A14" s="391"/>
      <c r="B14" s="541"/>
      <c r="C14" s="537"/>
      <c r="D14" s="546"/>
      <c r="E14" s="537"/>
      <c r="F14" s="546"/>
      <c r="G14" s="537"/>
      <c r="H14" s="862">
        <v>3</v>
      </c>
      <c r="I14" s="556"/>
      <c r="J14" s="1562" t="s">
        <v>481</v>
      </c>
      <c r="K14" s="1254"/>
      <c r="L14" s="1254"/>
      <c r="M14" s="1254"/>
      <c r="N14" s="1254"/>
      <c r="O14" s="1254"/>
      <c r="P14" s="1254"/>
      <c r="Q14" s="1254"/>
      <c r="R14" s="1254"/>
      <c r="S14" s="1254"/>
      <c r="T14" s="1254"/>
      <c r="U14" s="1254"/>
      <c r="V14" s="1254"/>
      <c r="W14" s="1255"/>
      <c r="X14" s="1514">
        <f>Лист1!A1*2400</f>
        <v>2640</v>
      </c>
      <c r="Y14" s="1515"/>
      <c r="Z14" s="1"/>
    </row>
    <row r="15" spans="1:26" ht="15">
      <c r="A15" s="391"/>
      <c r="B15" s="541"/>
      <c r="C15" s="537"/>
      <c r="D15" s="546"/>
      <c r="E15" s="537"/>
      <c r="F15" s="546"/>
      <c r="G15" s="537"/>
      <c r="H15" s="861">
        <v>4</v>
      </c>
      <c r="I15" s="557"/>
      <c r="J15" s="1562" t="s">
        <v>482</v>
      </c>
      <c r="K15" s="1254"/>
      <c r="L15" s="1254"/>
      <c r="M15" s="1254"/>
      <c r="N15" s="1254"/>
      <c r="O15" s="1254"/>
      <c r="P15" s="1254"/>
      <c r="Q15" s="1254"/>
      <c r="R15" s="1254"/>
      <c r="S15" s="1254"/>
      <c r="T15" s="1254"/>
      <c r="U15" s="1254"/>
      <c r="V15" s="1254"/>
      <c r="W15" s="1255"/>
      <c r="X15" s="555" t="s">
        <v>36</v>
      </c>
      <c r="Y15" s="322"/>
      <c r="Z15" s="1"/>
    </row>
    <row r="16" spans="1:26" ht="15">
      <c r="A16" s="391"/>
      <c r="B16" s="541"/>
      <c r="C16" s="537"/>
      <c r="D16" s="546"/>
      <c r="E16" s="537"/>
      <c r="F16" s="546"/>
      <c r="G16" s="537"/>
      <c r="H16" s="546"/>
      <c r="I16" s="537"/>
      <c r="J16" s="537"/>
      <c r="K16" s="558"/>
      <c r="L16" s="559" t="s">
        <v>483</v>
      </c>
      <c r="M16" s="537"/>
      <c r="N16" s="537"/>
      <c r="O16" s="537"/>
      <c r="P16" s="560"/>
      <c r="Q16" s="560"/>
      <c r="R16" s="551"/>
      <c r="S16" s="551"/>
      <c r="T16" s="551"/>
      <c r="U16" s="551"/>
      <c r="V16" s="551"/>
      <c r="W16" s="542"/>
      <c r="X16" s="552"/>
      <c r="Y16" s="553"/>
      <c r="Z16" s="1"/>
    </row>
    <row r="17" spans="1:26" ht="15">
      <c r="A17" s="391"/>
      <c r="B17" s="541"/>
      <c r="C17" s="537"/>
      <c r="D17" s="546"/>
      <c r="E17" s="537"/>
      <c r="F17" s="546"/>
      <c r="G17" s="537"/>
      <c r="H17" s="546"/>
      <c r="I17" s="537"/>
      <c r="J17" s="859">
        <v>5</v>
      </c>
      <c r="K17" s="1553" t="s">
        <v>484</v>
      </c>
      <c r="L17" s="1553"/>
      <c r="M17" s="1553"/>
      <c r="N17" s="1553"/>
      <c r="O17" s="1553"/>
      <c r="P17" s="1553"/>
      <c r="Q17" s="1553"/>
      <c r="R17" s="1553"/>
      <c r="S17" s="1553"/>
      <c r="T17" s="1553"/>
      <c r="U17" s="1553"/>
      <c r="V17" s="1553"/>
      <c r="W17" s="1563"/>
      <c r="X17" s="555" t="s">
        <v>36</v>
      </c>
      <c r="Y17" s="322"/>
      <c r="Z17" s="1"/>
    </row>
    <row r="18" spans="1:26" ht="15">
      <c r="A18" s="391"/>
      <c r="B18" s="541"/>
      <c r="C18" s="537"/>
      <c r="D18" s="546"/>
      <c r="E18" s="537"/>
      <c r="F18" s="546"/>
      <c r="G18" s="537"/>
      <c r="H18" s="546"/>
      <c r="I18" s="537"/>
      <c r="J18" s="859">
        <v>2</v>
      </c>
      <c r="K18" s="1553" t="s">
        <v>485</v>
      </c>
      <c r="L18" s="1254"/>
      <c r="M18" s="1254"/>
      <c r="N18" s="1254"/>
      <c r="O18" s="1254"/>
      <c r="P18" s="1254"/>
      <c r="Q18" s="1254"/>
      <c r="R18" s="1254"/>
      <c r="S18" s="1254"/>
      <c r="T18" s="1254"/>
      <c r="U18" s="1254"/>
      <c r="V18" s="1254"/>
      <c r="W18" s="1255"/>
      <c r="X18" s="562">
        <f>Лист1!A1*1950</f>
        <v>2145</v>
      </c>
      <c r="Y18" s="563">
        <f>Лист1!A1*3300</f>
        <v>3630.0000000000005</v>
      </c>
      <c r="Z18" s="1"/>
    </row>
    <row r="19" spans="1:26" ht="15">
      <c r="A19" s="391"/>
      <c r="B19" s="541"/>
      <c r="C19" s="537"/>
      <c r="D19" s="546"/>
      <c r="E19" s="537"/>
      <c r="F19" s="546"/>
      <c r="G19" s="537"/>
      <c r="H19" s="546"/>
      <c r="I19" s="537"/>
      <c r="J19" s="864">
        <v>3</v>
      </c>
      <c r="K19" s="1553" t="s">
        <v>486</v>
      </c>
      <c r="L19" s="1254"/>
      <c r="M19" s="1254"/>
      <c r="N19" s="1254"/>
      <c r="O19" s="1254"/>
      <c r="P19" s="1254"/>
      <c r="Q19" s="1254"/>
      <c r="R19" s="1254"/>
      <c r="S19" s="1254"/>
      <c r="T19" s="1254"/>
      <c r="U19" s="1254"/>
      <c r="V19" s="1254"/>
      <c r="W19" s="1255"/>
      <c r="X19" s="562">
        <f>Лист1!A1*1950</f>
        <v>2145</v>
      </c>
      <c r="Y19" s="563">
        <f>Лист1!A1*3300</f>
        <v>3630.0000000000005</v>
      </c>
      <c r="Z19" s="1"/>
    </row>
    <row r="20" spans="1:26" ht="15">
      <c r="A20" s="391"/>
      <c r="B20" s="391"/>
      <c r="C20" s="537"/>
      <c r="D20" s="537"/>
      <c r="E20" s="537"/>
      <c r="F20" s="537"/>
      <c r="G20" s="537"/>
      <c r="H20" s="537"/>
      <c r="I20" s="537"/>
      <c r="J20" s="860">
        <v>6</v>
      </c>
      <c r="K20" s="1553" t="s">
        <v>487</v>
      </c>
      <c r="L20" s="1254"/>
      <c r="M20" s="1254"/>
      <c r="N20" s="1254"/>
      <c r="O20" s="1254"/>
      <c r="P20" s="1254"/>
      <c r="Q20" s="1254"/>
      <c r="R20" s="1254"/>
      <c r="S20" s="1254"/>
      <c r="T20" s="1254"/>
      <c r="U20" s="1254"/>
      <c r="V20" s="1254"/>
      <c r="W20" s="1255"/>
      <c r="X20" s="562">
        <f>Лист1!A1*1950</f>
        <v>2145</v>
      </c>
      <c r="Y20" s="563">
        <f>Лист1!A1*3300</f>
        <v>3630.0000000000005</v>
      </c>
      <c r="Z20" s="1"/>
    </row>
    <row r="21" spans="1:26" ht="15" customHeight="1">
      <c r="A21" s="1"/>
      <c r="B21" s="541"/>
      <c r="C21" s="538"/>
      <c r="D21" s="546"/>
      <c r="E21" s="538"/>
      <c r="F21" s="546"/>
      <c r="G21" s="538"/>
      <c r="H21" s="546"/>
      <c r="I21" s="538"/>
      <c r="J21" s="564"/>
      <c r="K21" s="538"/>
      <c r="L21" s="537"/>
      <c r="M21" s="558"/>
      <c r="N21" s="559" t="s">
        <v>488</v>
      </c>
      <c r="O21" s="537"/>
      <c r="P21" s="537"/>
      <c r="Q21" s="537"/>
      <c r="R21" s="560"/>
      <c r="S21" s="560"/>
      <c r="T21" s="560"/>
      <c r="U21" s="560"/>
      <c r="V21" s="560"/>
      <c r="W21" s="551"/>
      <c r="X21" s="565"/>
      <c r="Y21" s="325"/>
      <c r="Z21" s="1"/>
    </row>
    <row r="22" spans="1:26" ht="22.5" customHeight="1">
      <c r="A22" s="1"/>
      <c r="B22" s="541"/>
      <c r="C22" s="538"/>
      <c r="D22" s="546"/>
      <c r="E22" s="538"/>
      <c r="F22" s="546"/>
      <c r="G22" s="538"/>
      <c r="H22" s="546"/>
      <c r="I22" s="538"/>
      <c r="J22" s="546"/>
      <c r="K22" s="566" t="s">
        <v>36</v>
      </c>
      <c r="L22" s="865">
        <v>1</v>
      </c>
      <c r="M22" s="866" t="s">
        <v>35</v>
      </c>
      <c r="N22" s="1554" t="s">
        <v>489</v>
      </c>
      <c r="O22" s="1554"/>
      <c r="P22" s="1554"/>
      <c r="Q22" s="1554"/>
      <c r="R22" s="1554"/>
      <c r="S22" s="1554"/>
      <c r="T22" s="1554"/>
      <c r="U22" s="1554"/>
      <c r="V22" s="1554"/>
      <c r="W22" s="1555"/>
      <c r="X22" s="567" t="s">
        <v>36</v>
      </c>
      <c r="Y22" s="568"/>
      <c r="Z22" s="1"/>
    </row>
    <row r="23" spans="1:26" ht="22.5" customHeight="1">
      <c r="A23" s="1"/>
      <c r="B23" s="541"/>
      <c r="C23" s="538"/>
      <c r="D23" s="546"/>
      <c r="E23" s="538"/>
      <c r="F23" s="546"/>
      <c r="G23" s="538"/>
      <c r="H23" s="546"/>
      <c r="I23" s="538"/>
      <c r="J23" s="546"/>
      <c r="K23" s="566" t="s">
        <v>36</v>
      </c>
      <c r="L23" s="867">
        <v>2</v>
      </c>
      <c r="M23" s="868"/>
      <c r="N23" s="1556" t="s">
        <v>490</v>
      </c>
      <c r="O23" s="1557"/>
      <c r="P23" s="1557"/>
      <c r="Q23" s="1557"/>
      <c r="R23" s="1557"/>
      <c r="S23" s="1557"/>
      <c r="T23" s="1557"/>
      <c r="U23" s="1557"/>
      <c r="V23" s="1557"/>
      <c r="W23" s="1558"/>
      <c r="X23" s="555" t="s">
        <v>36</v>
      </c>
      <c r="Y23" s="322"/>
      <c r="Z23" s="1"/>
    </row>
    <row r="24" spans="1:26" ht="15">
      <c r="A24" s="1"/>
      <c r="B24" s="541"/>
      <c r="C24" s="538"/>
      <c r="D24" s="546"/>
      <c r="E24" s="538"/>
      <c r="F24" s="546"/>
      <c r="G24" s="538"/>
      <c r="H24" s="546"/>
      <c r="I24" s="538"/>
      <c r="J24" s="546"/>
      <c r="K24" s="566" t="s">
        <v>36</v>
      </c>
      <c r="L24" s="865">
        <v>3</v>
      </c>
      <c r="M24" s="869"/>
      <c r="N24" s="1559" t="s">
        <v>491</v>
      </c>
      <c r="O24" s="1520"/>
      <c r="P24" s="1520"/>
      <c r="Q24" s="1520"/>
      <c r="R24" s="1520"/>
      <c r="S24" s="1520"/>
      <c r="T24" s="1520"/>
      <c r="U24" s="1520"/>
      <c r="V24" s="1520"/>
      <c r="W24" s="1521"/>
      <c r="X24" s="1514">
        <f>Лист1!A1*1050</f>
        <v>1155</v>
      </c>
      <c r="Y24" s="1515"/>
      <c r="Z24" s="1"/>
    </row>
    <row r="25" spans="1:26" ht="15">
      <c r="A25" s="1"/>
      <c r="B25" s="541"/>
      <c r="C25" s="538"/>
      <c r="D25" s="546"/>
      <c r="E25" s="538"/>
      <c r="F25" s="546"/>
      <c r="G25" s="538"/>
      <c r="H25" s="546"/>
      <c r="I25" s="538"/>
      <c r="J25" s="546"/>
      <c r="K25" s="566" t="s">
        <v>36</v>
      </c>
      <c r="L25" s="870">
        <v>4</v>
      </c>
      <c r="M25" s="868"/>
      <c r="N25" s="1559" t="s">
        <v>492</v>
      </c>
      <c r="O25" s="1520"/>
      <c r="P25" s="1520"/>
      <c r="Q25" s="1520"/>
      <c r="R25" s="1520"/>
      <c r="S25" s="1520"/>
      <c r="T25" s="1520"/>
      <c r="U25" s="1520"/>
      <c r="V25" s="1520"/>
      <c r="W25" s="1521"/>
      <c r="X25" s="1514">
        <f>Лист1!A1*1050</f>
        <v>1155</v>
      </c>
      <c r="Y25" s="1515"/>
      <c r="Z25" s="1"/>
    </row>
    <row r="26" spans="1:26" ht="10.5" customHeight="1">
      <c r="A26" s="1"/>
      <c r="B26" s="541"/>
      <c r="C26" s="538"/>
      <c r="D26" s="546"/>
      <c r="E26" s="538"/>
      <c r="F26" s="546"/>
      <c r="G26" s="538"/>
      <c r="H26" s="546"/>
      <c r="I26" s="538"/>
      <c r="J26" s="546"/>
      <c r="K26" s="538"/>
      <c r="L26" s="546"/>
      <c r="M26" s="538"/>
      <c r="N26" s="537"/>
      <c r="O26" s="558"/>
      <c r="P26" s="559" t="s">
        <v>493</v>
      </c>
      <c r="Q26" s="537"/>
      <c r="R26" s="537"/>
      <c r="S26" s="537"/>
      <c r="T26" s="537"/>
      <c r="U26" s="537"/>
      <c r="V26" s="537"/>
      <c r="W26" s="560"/>
      <c r="X26" s="552"/>
      <c r="Y26" s="325"/>
      <c r="Z26" s="1"/>
    </row>
    <row r="27" spans="1:26" ht="22.5" customHeight="1">
      <c r="A27" s="1"/>
      <c r="B27" s="541"/>
      <c r="C27" s="538"/>
      <c r="D27" s="546"/>
      <c r="E27" s="538"/>
      <c r="F27" s="546"/>
      <c r="G27" s="538"/>
      <c r="H27" s="546"/>
      <c r="I27" s="538"/>
      <c r="J27" s="546"/>
      <c r="K27" s="538"/>
      <c r="L27" s="546"/>
      <c r="M27" s="538"/>
      <c r="N27" s="865">
        <v>1</v>
      </c>
      <c r="O27" s="570"/>
      <c r="P27" s="1548" t="s">
        <v>494</v>
      </c>
      <c r="Q27" s="1554"/>
      <c r="R27" s="1554"/>
      <c r="S27" s="1554"/>
      <c r="T27" s="1554"/>
      <c r="U27" s="1554"/>
      <c r="V27" s="1554"/>
      <c r="W27" s="1555"/>
      <c r="X27" s="567" t="s">
        <v>36</v>
      </c>
      <c r="Y27" s="568"/>
      <c r="Z27" s="1"/>
    </row>
    <row r="28" spans="1:26" ht="22.5" customHeight="1">
      <c r="A28" s="1"/>
      <c r="B28" s="541"/>
      <c r="C28" s="538"/>
      <c r="D28" s="546"/>
      <c r="E28" s="538"/>
      <c r="F28" s="546"/>
      <c r="G28" s="538"/>
      <c r="H28" s="546"/>
      <c r="I28" s="538"/>
      <c r="J28" s="546"/>
      <c r="K28" s="538"/>
      <c r="L28" s="546"/>
      <c r="M28" s="538"/>
      <c r="N28" s="867">
        <v>2</v>
      </c>
      <c r="O28" s="569"/>
      <c r="P28" s="1560" t="s">
        <v>495</v>
      </c>
      <c r="Q28" s="1560"/>
      <c r="R28" s="1560"/>
      <c r="S28" s="1560"/>
      <c r="T28" s="1560"/>
      <c r="U28" s="1560"/>
      <c r="V28" s="1560"/>
      <c r="W28" s="1561"/>
      <c r="X28" s="555" t="s">
        <v>36</v>
      </c>
      <c r="Y28" s="330"/>
      <c r="Z28" s="1"/>
    </row>
    <row r="29" spans="1:26" ht="22.5" customHeight="1">
      <c r="A29" s="1"/>
      <c r="B29" s="541"/>
      <c r="C29" s="538"/>
      <c r="D29" s="546"/>
      <c r="E29" s="538"/>
      <c r="F29" s="546"/>
      <c r="G29" s="538"/>
      <c r="H29" s="546"/>
      <c r="I29" s="538"/>
      <c r="J29" s="546"/>
      <c r="K29" s="538"/>
      <c r="L29" s="546"/>
      <c r="M29" s="538"/>
      <c r="N29" s="865">
        <v>3</v>
      </c>
      <c r="O29" s="571"/>
      <c r="P29" s="1560" t="s">
        <v>496</v>
      </c>
      <c r="Q29" s="1560"/>
      <c r="R29" s="1560"/>
      <c r="S29" s="1560"/>
      <c r="T29" s="1560"/>
      <c r="U29" s="1560"/>
      <c r="V29" s="1560"/>
      <c r="W29" s="1561"/>
      <c r="X29" s="572" t="s">
        <v>36</v>
      </c>
      <c r="Y29" s="573"/>
      <c r="Z29" s="1"/>
    </row>
    <row r="30" spans="1:26" ht="25.5" customHeight="1">
      <c r="A30" s="391"/>
      <c r="B30" s="541"/>
      <c r="C30" s="538"/>
      <c r="D30" s="546"/>
      <c r="E30" s="538"/>
      <c r="F30" s="546"/>
      <c r="G30" s="538"/>
      <c r="H30" s="546"/>
      <c r="I30" s="538"/>
      <c r="J30" s="546"/>
      <c r="K30" s="538"/>
      <c r="L30" s="546"/>
      <c r="M30" s="537"/>
      <c r="N30" s="867">
        <v>4</v>
      </c>
      <c r="O30" s="561"/>
      <c r="P30" s="1548" t="s">
        <v>497</v>
      </c>
      <c r="Q30" s="1548"/>
      <c r="R30" s="1548"/>
      <c r="S30" s="1548"/>
      <c r="T30" s="1548"/>
      <c r="U30" s="1548"/>
      <c r="V30" s="1548"/>
      <c r="W30" s="1549"/>
      <c r="X30" s="1514">
        <f>Лист1!A1*600</f>
        <v>660</v>
      </c>
      <c r="Y30" s="1515"/>
      <c r="Z30" s="1"/>
    </row>
    <row r="31" spans="1:26" ht="22.5" customHeight="1">
      <c r="A31" s="391"/>
      <c r="B31" s="541"/>
      <c r="C31" s="538"/>
      <c r="D31" s="546"/>
      <c r="E31" s="538"/>
      <c r="F31" s="546"/>
      <c r="G31" s="538"/>
      <c r="H31" s="546"/>
      <c r="I31" s="538"/>
      <c r="J31" s="546"/>
      <c r="K31" s="538"/>
      <c r="L31" s="546"/>
      <c r="M31" s="537"/>
      <c r="N31" s="867">
        <v>5</v>
      </c>
      <c r="O31" s="561"/>
      <c r="P31" s="1548" t="s">
        <v>498</v>
      </c>
      <c r="Q31" s="1548"/>
      <c r="R31" s="1548"/>
      <c r="S31" s="1548"/>
      <c r="T31" s="1548"/>
      <c r="U31" s="1548"/>
      <c r="V31" s="1548"/>
      <c r="W31" s="1549"/>
      <c r="X31" s="1514">
        <f>Лист1!A1*12300</f>
        <v>13530.000000000002</v>
      </c>
      <c r="Y31" s="1515"/>
      <c r="Z31" s="1"/>
    </row>
    <row r="32" spans="1:26" ht="22.5" customHeight="1">
      <c r="A32" s="391"/>
      <c r="B32" s="541"/>
      <c r="C32" s="538"/>
      <c r="D32" s="546"/>
      <c r="E32" s="538"/>
      <c r="F32" s="546"/>
      <c r="G32" s="538"/>
      <c r="H32" s="546"/>
      <c r="I32" s="538"/>
      <c r="J32" s="546"/>
      <c r="K32" s="538"/>
      <c r="L32" s="546"/>
      <c r="M32" s="537"/>
      <c r="N32" s="867">
        <v>6</v>
      </c>
      <c r="O32" s="561"/>
      <c r="P32" s="1548" t="s">
        <v>499</v>
      </c>
      <c r="Q32" s="1548"/>
      <c r="R32" s="1548"/>
      <c r="S32" s="1548"/>
      <c r="T32" s="1548"/>
      <c r="U32" s="1548"/>
      <c r="V32" s="1548"/>
      <c r="W32" s="1549"/>
      <c r="X32" s="1514">
        <f>Лист1!A1*19400</f>
        <v>21340</v>
      </c>
      <c r="Y32" s="1515"/>
      <c r="Z32" s="1"/>
    </row>
    <row r="33" spans="1:26" ht="22.5" customHeight="1">
      <c r="A33" s="391"/>
      <c r="B33" s="541"/>
      <c r="C33" s="538"/>
      <c r="D33" s="546"/>
      <c r="E33" s="538"/>
      <c r="F33" s="546"/>
      <c r="G33" s="538"/>
      <c r="H33" s="546"/>
      <c r="I33" s="538"/>
      <c r="J33" s="546"/>
      <c r="K33" s="538"/>
      <c r="L33" s="546"/>
      <c r="M33" s="537"/>
      <c r="N33" s="865">
        <v>7</v>
      </c>
      <c r="O33" s="561"/>
      <c r="P33" s="1548" t="s">
        <v>500</v>
      </c>
      <c r="Q33" s="1548"/>
      <c r="R33" s="1548"/>
      <c r="S33" s="1548"/>
      <c r="T33" s="1548"/>
      <c r="U33" s="1548"/>
      <c r="V33" s="1548"/>
      <c r="W33" s="1549"/>
      <c r="X33" s="1514">
        <f>Лист1!A1*6300</f>
        <v>6930.000000000001</v>
      </c>
      <c r="Y33" s="1515"/>
      <c r="Z33" s="1"/>
    </row>
    <row r="34" spans="1:26" ht="13.5" customHeight="1">
      <c r="A34" s="1"/>
      <c r="B34" s="541"/>
      <c r="C34" s="538"/>
      <c r="D34" s="546"/>
      <c r="E34" s="538"/>
      <c r="F34" s="546"/>
      <c r="G34" s="538"/>
      <c r="H34" s="546"/>
      <c r="I34" s="538"/>
      <c r="J34" s="546"/>
      <c r="K34" s="538"/>
      <c r="L34" s="546"/>
      <c r="M34" s="538"/>
      <c r="N34" s="546"/>
      <c r="O34" s="538"/>
      <c r="P34" s="1550" t="s">
        <v>501</v>
      </c>
      <c r="Q34" s="1551"/>
      <c r="R34" s="1551"/>
      <c r="S34" s="1551"/>
      <c r="T34" s="1551"/>
      <c r="U34" s="1551"/>
      <c r="V34" s="1551"/>
      <c r="W34" s="1552"/>
      <c r="X34" s="552"/>
      <c r="Y34" s="323"/>
      <c r="Z34" s="1"/>
    </row>
    <row r="35" spans="1:26" ht="15">
      <c r="A35" s="1"/>
      <c r="B35" s="541"/>
      <c r="C35" s="538"/>
      <c r="D35" s="546"/>
      <c r="E35" s="538"/>
      <c r="F35" s="546"/>
      <c r="G35" s="538"/>
      <c r="H35" s="546"/>
      <c r="I35" s="538"/>
      <c r="J35" s="546"/>
      <c r="K35" s="538"/>
      <c r="L35" s="546"/>
      <c r="M35" s="538"/>
      <c r="N35" s="546"/>
      <c r="O35" s="538"/>
      <c r="P35" s="871">
        <v>1</v>
      </c>
      <c r="Q35" s="570"/>
      <c r="R35" s="1546" t="s">
        <v>502</v>
      </c>
      <c r="S35" s="1546"/>
      <c r="T35" s="1546"/>
      <c r="U35" s="1546"/>
      <c r="V35" s="1546"/>
      <c r="W35" s="1547"/>
      <c r="X35" s="567" t="s">
        <v>36</v>
      </c>
      <c r="Y35" s="322"/>
      <c r="Z35" s="1"/>
    </row>
    <row r="36" spans="1:26" ht="15">
      <c r="A36" s="1"/>
      <c r="B36" s="541"/>
      <c r="C36" s="538"/>
      <c r="D36" s="546"/>
      <c r="E36" s="538"/>
      <c r="F36" s="546"/>
      <c r="G36" s="538"/>
      <c r="H36" s="546"/>
      <c r="I36" s="538"/>
      <c r="J36" s="546"/>
      <c r="K36" s="538"/>
      <c r="L36" s="546"/>
      <c r="M36" s="538"/>
      <c r="N36" s="546"/>
      <c r="O36" s="538"/>
      <c r="P36" s="872">
        <v>2</v>
      </c>
      <c r="Q36" s="569"/>
      <c r="R36" s="1546" t="s">
        <v>503</v>
      </c>
      <c r="S36" s="1546"/>
      <c r="T36" s="1546"/>
      <c r="U36" s="1546"/>
      <c r="V36" s="1546"/>
      <c r="W36" s="1547"/>
      <c r="X36" s="1514">
        <f>Лист1!A1*1800</f>
        <v>1980.0000000000002</v>
      </c>
      <c r="Y36" s="1515"/>
      <c r="Z36" s="1"/>
    </row>
    <row r="37" spans="1:26" ht="15">
      <c r="A37" s="1"/>
      <c r="B37" s="541"/>
      <c r="C37" s="538"/>
      <c r="D37" s="546"/>
      <c r="E37" s="538"/>
      <c r="F37" s="546"/>
      <c r="G37" s="538"/>
      <c r="H37" s="546"/>
      <c r="I37" s="538"/>
      <c r="J37" s="546"/>
      <c r="K37" s="538"/>
      <c r="L37" s="546"/>
      <c r="M37" s="538"/>
      <c r="N37" s="546"/>
      <c r="O37" s="538"/>
      <c r="P37" s="871">
        <v>3</v>
      </c>
      <c r="Q37" s="571"/>
      <c r="R37" s="1546" t="s">
        <v>504</v>
      </c>
      <c r="S37" s="1546"/>
      <c r="T37" s="1546"/>
      <c r="U37" s="1546"/>
      <c r="V37" s="1546"/>
      <c r="W37" s="1547"/>
      <c r="X37" s="1514">
        <f>Лист1!A1*4350</f>
        <v>4785</v>
      </c>
      <c r="Y37" s="1515"/>
      <c r="Z37" s="1"/>
    </row>
    <row r="38" spans="1:26" ht="15">
      <c r="A38" s="1"/>
      <c r="B38" s="541"/>
      <c r="C38" s="538"/>
      <c r="D38" s="546"/>
      <c r="E38" s="538"/>
      <c r="F38" s="546"/>
      <c r="G38" s="538"/>
      <c r="H38" s="546"/>
      <c r="I38" s="538"/>
      <c r="J38" s="546"/>
      <c r="K38" s="538"/>
      <c r="L38" s="546"/>
      <c r="M38" s="538"/>
      <c r="N38" s="546"/>
      <c r="O38" s="538"/>
      <c r="P38" s="872">
        <v>4</v>
      </c>
      <c r="Q38" s="569"/>
      <c r="R38" s="1546" t="s">
        <v>505</v>
      </c>
      <c r="S38" s="1546"/>
      <c r="T38" s="1546"/>
      <c r="U38" s="1546"/>
      <c r="V38" s="1546"/>
      <c r="W38" s="1547"/>
      <c r="X38" s="1514">
        <f>Лист1!A1*12000</f>
        <v>13200.000000000002</v>
      </c>
      <c r="Y38" s="1515"/>
      <c r="Z38" s="1"/>
    </row>
    <row r="39" spans="1:26" ht="15">
      <c r="A39" s="1"/>
      <c r="B39" s="541"/>
      <c r="C39" s="538"/>
      <c r="D39" s="546"/>
      <c r="E39" s="538"/>
      <c r="F39" s="546"/>
      <c r="G39" s="538"/>
      <c r="H39" s="546"/>
      <c r="I39" s="538"/>
      <c r="J39" s="546"/>
      <c r="K39" s="538"/>
      <c r="L39" s="546"/>
      <c r="M39" s="538"/>
      <c r="N39" s="546"/>
      <c r="O39" s="538"/>
      <c r="P39" s="871">
        <v>5</v>
      </c>
      <c r="Q39" s="571"/>
      <c r="R39" s="1546" t="s">
        <v>506</v>
      </c>
      <c r="S39" s="1546"/>
      <c r="T39" s="1546"/>
      <c r="U39" s="1546"/>
      <c r="V39" s="1546"/>
      <c r="W39" s="1547"/>
      <c r="X39" s="562">
        <f>Лист1!A1*4650</f>
        <v>5115</v>
      </c>
      <c r="Y39" s="563">
        <f>Лист1!A1*5700</f>
        <v>6270.000000000001</v>
      </c>
      <c r="Z39" s="1"/>
    </row>
    <row r="40" spans="1:26" ht="15">
      <c r="A40" s="1"/>
      <c r="B40" s="541"/>
      <c r="C40" s="538"/>
      <c r="D40" s="546"/>
      <c r="E40" s="538"/>
      <c r="F40" s="546"/>
      <c r="G40" s="538"/>
      <c r="H40" s="546"/>
      <c r="I40" s="538"/>
      <c r="J40" s="546"/>
      <c r="K40" s="538"/>
      <c r="L40" s="546"/>
      <c r="M40" s="538"/>
      <c r="N40" s="546"/>
      <c r="O40" s="538"/>
      <c r="P40" s="872">
        <v>6</v>
      </c>
      <c r="Q40" s="569"/>
      <c r="R40" s="1546" t="s">
        <v>507</v>
      </c>
      <c r="S40" s="1546"/>
      <c r="T40" s="1546"/>
      <c r="U40" s="1546"/>
      <c r="V40" s="1546"/>
      <c r="W40" s="1547"/>
      <c r="X40" s="562">
        <f>Лист1!A1*1950</f>
        <v>2145</v>
      </c>
      <c r="Y40" s="563">
        <f>Лист1!A1*2700</f>
        <v>2970.0000000000005</v>
      </c>
      <c r="Z40" s="1"/>
    </row>
    <row r="41" spans="1:26" ht="12.75" customHeight="1">
      <c r="A41" s="1"/>
      <c r="B41" s="541"/>
      <c r="C41" s="1"/>
      <c r="D41" s="541"/>
      <c r="E41" s="1"/>
      <c r="F41" s="541"/>
      <c r="G41" s="1"/>
      <c r="H41" s="541"/>
      <c r="I41" s="1"/>
      <c r="J41" s="541"/>
      <c r="K41" s="1"/>
      <c r="L41" s="541"/>
      <c r="M41" s="1"/>
      <c r="N41" s="541"/>
      <c r="O41" s="1"/>
      <c r="P41" s="541"/>
      <c r="Q41" s="1"/>
      <c r="R41" s="15"/>
      <c r="S41" s="574" t="s">
        <v>508</v>
      </c>
      <c r="T41" s="575"/>
      <c r="U41" s="575"/>
      <c r="V41" s="576"/>
      <c r="W41" s="576"/>
      <c r="X41" s="365"/>
      <c r="Y41" s="577"/>
      <c r="Z41" s="1"/>
    </row>
    <row r="42" spans="1:26" ht="15">
      <c r="A42" s="1"/>
      <c r="B42" s="541"/>
      <c r="C42" s="1"/>
      <c r="D42" s="541"/>
      <c r="E42" s="1"/>
      <c r="F42" s="541"/>
      <c r="G42" s="1"/>
      <c r="H42" s="541"/>
      <c r="I42" s="1"/>
      <c r="J42" s="541"/>
      <c r="K42" s="1"/>
      <c r="L42" s="541"/>
      <c r="M42" s="1"/>
      <c r="N42" s="541"/>
      <c r="O42" s="1"/>
      <c r="P42" s="541"/>
      <c r="Q42" s="578"/>
      <c r="R42" s="873" t="s">
        <v>39</v>
      </c>
      <c r="S42" s="1544" t="s">
        <v>509</v>
      </c>
      <c r="T42" s="1520"/>
      <c r="U42" s="1520"/>
      <c r="V42" s="1520"/>
      <c r="W42" s="1521"/>
      <c r="X42" s="1514">
        <f>Лист1!A1*2250</f>
        <v>2475</v>
      </c>
      <c r="Y42" s="1515"/>
      <c r="Z42" s="1"/>
    </row>
    <row r="43" spans="1:26" ht="15">
      <c r="A43" s="1"/>
      <c r="B43" s="1539" t="s">
        <v>510</v>
      </c>
      <c r="C43" s="1276"/>
      <c r="D43" s="1276"/>
      <c r="E43" s="1276"/>
      <c r="F43" s="1276"/>
      <c r="G43" s="1276"/>
      <c r="H43" s="1276"/>
      <c r="I43" s="1276"/>
      <c r="J43" s="1276"/>
      <c r="K43" s="1276"/>
      <c r="L43" s="1276"/>
      <c r="M43" s="1276"/>
      <c r="N43" s="1276"/>
      <c r="O43" s="1276"/>
      <c r="P43" s="1276"/>
      <c r="Q43" s="1276"/>
      <c r="R43" s="874" t="s">
        <v>44</v>
      </c>
      <c r="S43" s="1545" t="s">
        <v>511</v>
      </c>
      <c r="T43" s="1520"/>
      <c r="U43" s="1520"/>
      <c r="V43" s="1520"/>
      <c r="W43" s="1521"/>
      <c r="X43" s="562">
        <f>Лист1!A1*8800</f>
        <v>9680</v>
      </c>
      <c r="Y43" s="563">
        <f>Лист1!A1*8800</f>
        <v>9680</v>
      </c>
      <c r="Z43" s="1"/>
    </row>
    <row r="44" spans="1:26" ht="15">
      <c r="A44" s="1"/>
      <c r="B44" s="1539" t="s">
        <v>512</v>
      </c>
      <c r="C44" s="1276"/>
      <c r="D44" s="1276"/>
      <c r="E44" s="1276"/>
      <c r="F44" s="1276"/>
      <c r="G44" s="1276"/>
      <c r="H44" s="1276"/>
      <c r="I44" s="1276"/>
      <c r="J44" s="1276"/>
      <c r="K44" s="1276"/>
      <c r="L44" s="1276"/>
      <c r="M44" s="1276"/>
      <c r="N44" s="1276"/>
      <c r="O44" s="1276"/>
      <c r="P44" s="1276"/>
      <c r="Q44" s="1276"/>
      <c r="R44" s="874" t="s">
        <v>45</v>
      </c>
      <c r="S44" s="1541" t="s">
        <v>513</v>
      </c>
      <c r="T44" s="1531"/>
      <c r="U44" s="1531"/>
      <c r="V44" s="1531"/>
      <c r="W44" s="1532"/>
      <c r="X44" s="562">
        <f>Лист1!A1*10500</f>
        <v>11550.000000000002</v>
      </c>
      <c r="Y44" s="563">
        <f>Лист1!A1*10500</f>
        <v>11550.000000000002</v>
      </c>
      <c r="Z44" s="1"/>
    </row>
    <row r="45" spans="1:26" ht="15">
      <c r="A45" s="1"/>
      <c r="B45" s="1539" t="s">
        <v>514</v>
      </c>
      <c r="C45" s="1276"/>
      <c r="D45" s="1276"/>
      <c r="E45" s="1276"/>
      <c r="F45" s="1276"/>
      <c r="G45" s="1276"/>
      <c r="H45" s="1276"/>
      <c r="I45" s="1276"/>
      <c r="J45" s="1276"/>
      <c r="K45" s="1276"/>
      <c r="L45" s="1276"/>
      <c r="M45" s="1276"/>
      <c r="N45" s="1276"/>
      <c r="O45" s="1276"/>
      <c r="P45" s="1276"/>
      <c r="Q45" s="1276"/>
      <c r="R45" s="875" t="s">
        <v>46</v>
      </c>
      <c r="S45" s="1540" t="s">
        <v>515</v>
      </c>
      <c r="T45" s="1531"/>
      <c r="U45" s="1531"/>
      <c r="V45" s="1531"/>
      <c r="W45" s="1532"/>
      <c r="X45" s="562">
        <f>Лист1!A1*20500</f>
        <v>22550.000000000004</v>
      </c>
      <c r="Y45" s="563">
        <f>Лист1!A1*20500</f>
        <v>22550.000000000004</v>
      </c>
      <c r="Z45" s="1"/>
    </row>
    <row r="46" spans="1:26" ht="15">
      <c r="A46" s="391"/>
      <c r="B46" s="1539" t="s">
        <v>512</v>
      </c>
      <c r="C46" s="1276"/>
      <c r="D46" s="1276"/>
      <c r="E46" s="1276"/>
      <c r="F46" s="1276"/>
      <c r="G46" s="1276"/>
      <c r="H46" s="1276"/>
      <c r="I46" s="1276"/>
      <c r="J46" s="1276"/>
      <c r="K46" s="1276"/>
      <c r="L46" s="1276"/>
      <c r="M46" s="1276"/>
      <c r="N46" s="1276"/>
      <c r="O46" s="1276"/>
      <c r="P46" s="1276"/>
      <c r="Q46" s="1276"/>
      <c r="R46" s="875" t="s">
        <v>47</v>
      </c>
      <c r="S46" s="1541" t="s">
        <v>516</v>
      </c>
      <c r="T46" s="1531"/>
      <c r="U46" s="1531"/>
      <c r="V46" s="1531"/>
      <c r="W46" s="1532"/>
      <c r="X46" s="562">
        <f>Лист1!A1*22200</f>
        <v>24420.000000000004</v>
      </c>
      <c r="Y46" s="563">
        <f>Лист1!A1*22200</f>
        <v>24420.000000000004</v>
      </c>
      <c r="Z46" s="1"/>
    </row>
    <row r="47" spans="1:26" ht="15">
      <c r="A47" s="391"/>
      <c r="B47" s="1542" t="s">
        <v>517</v>
      </c>
      <c r="C47" s="1273"/>
      <c r="D47" s="1273"/>
      <c r="E47" s="1273"/>
      <c r="F47" s="1273"/>
      <c r="G47" s="1273"/>
      <c r="H47" s="1273"/>
      <c r="I47" s="1273"/>
      <c r="J47" s="1273"/>
      <c r="K47" s="1273"/>
      <c r="L47" s="1273"/>
      <c r="M47" s="1273"/>
      <c r="N47" s="1273"/>
      <c r="O47" s="1273"/>
      <c r="P47" s="1273"/>
      <c r="Q47" s="1273"/>
      <c r="R47" s="876" t="s">
        <v>48</v>
      </c>
      <c r="S47" s="1543" t="s">
        <v>837</v>
      </c>
      <c r="T47" s="1531"/>
      <c r="U47" s="1531"/>
      <c r="V47" s="1531"/>
      <c r="W47" s="1532"/>
      <c r="X47" s="562">
        <f>Лист1!A1*16600</f>
        <v>18260</v>
      </c>
      <c r="Y47" s="563">
        <f>Лист1!A1*16600</f>
        <v>18260</v>
      </c>
      <c r="Z47" s="1"/>
    </row>
    <row r="48" spans="1:26" ht="24.75" customHeight="1">
      <c r="A48" s="579"/>
      <c r="B48" s="580"/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1"/>
      <c r="N48" s="541"/>
      <c r="O48" s="1"/>
      <c r="P48" s="541"/>
      <c r="Q48" s="578"/>
      <c r="R48" s="874" t="s">
        <v>50</v>
      </c>
      <c r="S48" s="1527" t="s">
        <v>518</v>
      </c>
      <c r="T48" s="1528"/>
      <c r="U48" s="1528"/>
      <c r="V48" s="1528"/>
      <c r="W48" s="1529"/>
      <c r="X48" s="562">
        <f>Лист1!A1*21700</f>
        <v>23870.000000000004</v>
      </c>
      <c r="Y48" s="563">
        <f>Лист1!A1*21700</f>
        <v>23870.000000000004</v>
      </c>
      <c r="Z48" s="1"/>
    </row>
    <row r="49" spans="1:26" ht="15">
      <c r="A49" s="579"/>
      <c r="B49" s="541"/>
      <c r="C49" s="579"/>
      <c r="D49" s="391"/>
      <c r="E49" s="579"/>
      <c r="F49" s="391"/>
      <c r="G49" s="579"/>
      <c r="H49" s="541"/>
      <c r="I49" s="579"/>
      <c r="J49" s="541"/>
      <c r="K49" s="391"/>
      <c r="L49" s="541"/>
      <c r="M49" s="1"/>
      <c r="N49" s="541"/>
      <c r="O49" s="1"/>
      <c r="P49" s="541"/>
      <c r="Q49" s="1"/>
      <c r="R49" s="877" t="s">
        <v>317</v>
      </c>
      <c r="S49" s="1530" t="s">
        <v>667</v>
      </c>
      <c r="T49" s="1531"/>
      <c r="U49" s="1531"/>
      <c r="V49" s="1531"/>
      <c r="W49" s="1532"/>
      <c r="X49" s="1533">
        <f>Лист1!A1*9200</f>
        <v>10120</v>
      </c>
      <c r="Y49" s="1534"/>
      <c r="Z49" s="1"/>
    </row>
    <row r="50" spans="1:26" ht="15">
      <c r="A50" s="579"/>
      <c r="B50" s="541"/>
      <c r="C50" s="579"/>
      <c r="D50" s="391"/>
      <c r="E50" s="579"/>
      <c r="F50" s="391"/>
      <c r="G50" s="579"/>
      <c r="H50" s="541"/>
      <c r="I50" s="579"/>
      <c r="J50" s="541"/>
      <c r="K50" s="391"/>
      <c r="L50" s="541"/>
      <c r="M50" s="1"/>
      <c r="N50" s="541"/>
      <c r="O50" s="1"/>
      <c r="P50" s="541"/>
      <c r="Q50" s="1"/>
      <c r="R50" s="877" t="s">
        <v>51</v>
      </c>
      <c r="S50" s="1530" t="s">
        <v>519</v>
      </c>
      <c r="T50" s="1531"/>
      <c r="U50" s="1531"/>
      <c r="V50" s="1531"/>
      <c r="W50" s="1532"/>
      <c r="X50" s="1533" t="s">
        <v>520</v>
      </c>
      <c r="Y50" s="1534"/>
      <c r="Z50" s="1"/>
    </row>
    <row r="51" spans="1:26" ht="15">
      <c r="A51" s="579"/>
      <c r="B51" s="541"/>
      <c r="C51" s="579"/>
      <c r="D51" s="391"/>
      <c r="E51" s="579"/>
      <c r="F51" s="222" t="s">
        <v>521</v>
      </c>
      <c r="G51" s="579"/>
      <c r="H51" s="541"/>
      <c r="I51" s="579"/>
      <c r="J51" s="541"/>
      <c r="K51" s="391"/>
      <c r="L51" s="541"/>
      <c r="M51" s="1"/>
      <c r="N51" s="541"/>
      <c r="O51" s="1"/>
      <c r="P51" s="541"/>
      <c r="Q51" s="1"/>
      <c r="R51" s="369"/>
      <c r="S51" s="581"/>
      <c r="T51" s="581"/>
      <c r="U51" s="582"/>
      <c r="V51" s="583"/>
      <c r="W51" s="583"/>
      <c r="X51" s="1535" t="s">
        <v>522</v>
      </c>
      <c r="Y51" s="1535"/>
      <c r="Z51" s="1"/>
    </row>
    <row r="52" spans="1:26" ht="15">
      <c r="A52" s="584"/>
      <c r="B52" s="857" t="s">
        <v>472</v>
      </c>
      <c r="C52" s="584"/>
      <c r="D52" s="878" t="s">
        <v>32</v>
      </c>
      <c r="E52" s="584"/>
      <c r="F52" s="857">
        <v>2</v>
      </c>
      <c r="G52" s="584"/>
      <c r="H52" s="857">
        <v>1</v>
      </c>
      <c r="I52" s="584"/>
      <c r="J52" s="857">
        <v>5</v>
      </c>
      <c r="K52" s="585" t="s">
        <v>523</v>
      </c>
      <c r="L52" s="879">
        <v>1</v>
      </c>
      <c r="M52" s="586"/>
      <c r="N52" s="879">
        <v>1</v>
      </c>
      <c r="O52" s="1"/>
      <c r="P52" s="879">
        <v>6</v>
      </c>
      <c r="Q52" s="587"/>
      <c r="R52" s="477" t="s">
        <v>46</v>
      </c>
      <c r="S52" s="391"/>
      <c r="T52" s="391"/>
      <c r="U52" s="391"/>
      <c r="V52" s="391"/>
      <c r="W52" s="588" t="s">
        <v>524</v>
      </c>
      <c r="X52" s="357" t="s">
        <v>525</v>
      </c>
      <c r="Y52" s="589" t="s">
        <v>53</v>
      </c>
      <c r="Z52" s="1"/>
    </row>
    <row r="53" spans="1:26" ht="9" customHeight="1">
      <c r="A53" s="391"/>
      <c r="B53" s="590"/>
      <c r="C53" s="391"/>
      <c r="D53" s="591"/>
      <c r="E53" s="391"/>
      <c r="F53" s="391"/>
      <c r="G53" s="391"/>
      <c r="H53" s="391"/>
      <c r="I53" s="391"/>
      <c r="J53" s="391"/>
      <c r="K53" s="391"/>
      <c r="L53" s="880"/>
      <c r="M53" s="391"/>
      <c r="N53" s="391"/>
      <c r="O53" s="586"/>
      <c r="P53" s="391"/>
      <c r="Q53" s="391"/>
      <c r="R53" s="391"/>
      <c r="S53" s="391"/>
      <c r="T53" s="391"/>
      <c r="U53" s="391"/>
      <c r="V53" s="391"/>
      <c r="W53" s="391"/>
      <c r="X53" s="15"/>
      <c r="Y53" s="592"/>
      <c r="Z53" s="1"/>
    </row>
    <row r="54" spans="1:26" ht="15">
      <c r="A54" s="1536" t="s">
        <v>526</v>
      </c>
      <c r="B54" s="1537"/>
      <c r="C54" s="1537"/>
      <c r="D54" s="1537"/>
      <c r="E54" s="1537"/>
      <c r="F54" s="1537"/>
      <c r="G54" s="1537"/>
      <c r="H54" s="1537"/>
      <c r="I54" s="1537"/>
      <c r="J54" s="1537"/>
      <c r="K54" s="1537"/>
      <c r="L54" s="1537"/>
      <c r="M54" s="1537"/>
      <c r="N54" s="1537"/>
      <c r="O54" s="1537"/>
      <c r="P54" s="1537"/>
      <c r="Q54" s="1537"/>
      <c r="R54" s="1537"/>
      <c r="S54" s="1537"/>
      <c r="T54" s="1537"/>
      <c r="U54" s="1537"/>
      <c r="V54" s="881" t="s">
        <v>527</v>
      </c>
      <c r="W54" s="857" t="s">
        <v>528</v>
      </c>
      <c r="X54" s="881" t="s">
        <v>527</v>
      </c>
      <c r="Y54" s="857" t="s">
        <v>528</v>
      </c>
      <c r="Z54" s="882"/>
    </row>
    <row r="55" spans="1:26" ht="15">
      <c r="A55" s="1538" t="s">
        <v>529</v>
      </c>
      <c r="B55" s="1517"/>
      <c r="C55" s="1517"/>
      <c r="D55" s="1517"/>
      <c r="E55" s="1517"/>
      <c r="F55" s="1517"/>
      <c r="G55" s="1517"/>
      <c r="H55" s="1517"/>
      <c r="I55" s="1517"/>
      <c r="J55" s="1517"/>
      <c r="K55" s="1517"/>
      <c r="L55" s="1517"/>
      <c r="M55" s="1517"/>
      <c r="N55" s="1517"/>
      <c r="O55" s="1517"/>
      <c r="P55" s="1517"/>
      <c r="Q55" s="1517"/>
      <c r="R55" s="1517"/>
      <c r="S55" s="1517"/>
      <c r="T55" s="1517"/>
      <c r="U55" s="1518"/>
      <c r="V55" s="593" t="s">
        <v>530</v>
      </c>
      <c r="W55" s="594"/>
      <c r="X55" s="593" t="s">
        <v>531</v>
      </c>
      <c r="Y55" s="594"/>
      <c r="Z55" s="1"/>
    </row>
    <row r="56" spans="1:26" ht="15">
      <c r="A56" s="1526" t="s">
        <v>641</v>
      </c>
      <c r="B56" s="1520"/>
      <c r="C56" s="1520"/>
      <c r="D56" s="1520"/>
      <c r="E56" s="1520"/>
      <c r="F56" s="1520"/>
      <c r="G56" s="1520"/>
      <c r="H56" s="1520"/>
      <c r="I56" s="1520"/>
      <c r="J56" s="1520"/>
      <c r="K56" s="1520"/>
      <c r="L56" s="1520"/>
      <c r="M56" s="1520"/>
      <c r="N56" s="1520"/>
      <c r="O56" s="1520"/>
      <c r="P56" s="1520"/>
      <c r="Q56" s="1520"/>
      <c r="R56" s="1520"/>
      <c r="S56" s="1520"/>
      <c r="T56" s="1520"/>
      <c r="U56" s="1521"/>
      <c r="V56" s="595">
        <v>1524042</v>
      </c>
      <c r="W56" s="563">
        <f>Лист1!A1*4050</f>
        <v>4455</v>
      </c>
      <c r="X56" s="669"/>
      <c r="Y56" s="563">
        <f>Лист1!A1*4050</f>
        <v>4455</v>
      </c>
      <c r="Z56" s="1"/>
    </row>
    <row r="57" spans="1:26" ht="15">
      <c r="A57" s="1526" t="s">
        <v>642</v>
      </c>
      <c r="B57" s="1520"/>
      <c r="C57" s="1520"/>
      <c r="D57" s="1520"/>
      <c r="E57" s="1520"/>
      <c r="F57" s="1520"/>
      <c r="G57" s="1520"/>
      <c r="H57" s="1520"/>
      <c r="I57" s="1520"/>
      <c r="J57" s="1520"/>
      <c r="K57" s="1520"/>
      <c r="L57" s="1520"/>
      <c r="M57" s="1520"/>
      <c r="N57" s="1520"/>
      <c r="O57" s="1520"/>
      <c r="P57" s="1520"/>
      <c r="Q57" s="1520"/>
      <c r="R57" s="1520"/>
      <c r="S57" s="1520"/>
      <c r="T57" s="1520"/>
      <c r="U57" s="1521"/>
      <c r="V57" s="595">
        <v>1524001</v>
      </c>
      <c r="W57" s="563">
        <f>Лист1!A1*6000</f>
        <v>6600.000000000001</v>
      </c>
      <c r="X57" s="595">
        <v>1524002</v>
      </c>
      <c r="Y57" s="563">
        <f>Лист1!A1*6000</f>
        <v>6600.000000000001</v>
      </c>
      <c r="Z57" s="1"/>
    </row>
    <row r="58" spans="1:26" ht="15">
      <c r="A58" s="1525" t="s">
        <v>532</v>
      </c>
      <c r="B58" s="1254"/>
      <c r="C58" s="1254"/>
      <c r="D58" s="1254"/>
      <c r="E58" s="1254"/>
      <c r="F58" s="1254"/>
      <c r="G58" s="1254"/>
      <c r="H58" s="1254"/>
      <c r="I58" s="1254"/>
      <c r="J58" s="1254"/>
      <c r="K58" s="1254"/>
      <c r="L58" s="1254"/>
      <c r="M58" s="1254"/>
      <c r="N58" s="1254"/>
      <c r="O58" s="1254"/>
      <c r="P58" s="1254"/>
      <c r="Q58" s="1254"/>
      <c r="R58" s="1254"/>
      <c r="S58" s="1254"/>
      <c r="T58" s="1254"/>
      <c r="U58" s="1255"/>
      <c r="V58" s="596">
        <v>1502006</v>
      </c>
      <c r="W58" s="563">
        <f>Лист1!A1*13800</f>
        <v>15180.000000000002</v>
      </c>
      <c r="X58" s="597">
        <v>1502007</v>
      </c>
      <c r="Y58" s="563">
        <f>Лист1!A1*13800</f>
        <v>15180.000000000002</v>
      </c>
      <c r="Z58" s="1"/>
    </row>
    <row r="59" spans="1:26" ht="7.5" customHeight="1">
      <c r="A59" s="391"/>
      <c r="B59" s="391"/>
      <c r="C59" s="391"/>
      <c r="D59" s="391"/>
      <c r="E59" s="391"/>
      <c r="F59" s="391"/>
      <c r="G59" s="391"/>
      <c r="H59" s="391"/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598"/>
      <c r="W59" s="599"/>
      <c r="X59" s="599"/>
      <c r="Y59" s="599"/>
      <c r="Z59" s="1"/>
    </row>
    <row r="60" spans="1:26" ht="13.5" customHeight="1">
      <c r="A60" s="1516" t="s">
        <v>533</v>
      </c>
      <c r="B60" s="1517"/>
      <c r="C60" s="1517"/>
      <c r="D60" s="1517"/>
      <c r="E60" s="1517"/>
      <c r="F60" s="1517"/>
      <c r="G60" s="1517"/>
      <c r="H60" s="1517"/>
      <c r="I60" s="1517"/>
      <c r="J60" s="1517"/>
      <c r="K60" s="1517"/>
      <c r="L60" s="1517"/>
      <c r="M60" s="1517"/>
      <c r="N60" s="1517"/>
      <c r="O60" s="1517"/>
      <c r="P60" s="1517"/>
      <c r="Q60" s="1517"/>
      <c r="R60" s="1517"/>
      <c r="S60" s="1517"/>
      <c r="T60" s="1517"/>
      <c r="U60" s="1518"/>
      <c r="V60" s="600" t="s">
        <v>708</v>
      </c>
      <c r="W60" s="601"/>
      <c r="X60" s="602" t="s">
        <v>534</v>
      </c>
      <c r="Y60" s="601"/>
      <c r="Z60" s="1"/>
    </row>
    <row r="61" spans="1:26" ht="15">
      <c r="A61" s="1519" t="s">
        <v>535</v>
      </c>
      <c r="B61" s="1520"/>
      <c r="C61" s="1520"/>
      <c r="D61" s="1520"/>
      <c r="E61" s="1520"/>
      <c r="F61" s="1520"/>
      <c r="G61" s="1520"/>
      <c r="H61" s="1520"/>
      <c r="I61" s="1520"/>
      <c r="J61" s="1520"/>
      <c r="K61" s="1520"/>
      <c r="L61" s="1520"/>
      <c r="M61" s="1520"/>
      <c r="N61" s="1520"/>
      <c r="O61" s="1520"/>
      <c r="P61" s="1520"/>
      <c r="Q61" s="1520"/>
      <c r="R61" s="1520"/>
      <c r="S61" s="1520"/>
      <c r="T61" s="1520"/>
      <c r="U61" s="1521"/>
      <c r="V61" s="603">
        <v>1502008</v>
      </c>
      <c r="W61" s="563">
        <f>Лист1!A1*14600</f>
        <v>16060.000000000002</v>
      </c>
      <c r="X61" s="21">
        <v>1524004</v>
      </c>
      <c r="Y61" s="563">
        <f>Лист1!A1*6000</f>
        <v>6600.000000000001</v>
      </c>
      <c r="Z61" s="1"/>
    </row>
    <row r="62" spans="1:26" ht="24" customHeight="1">
      <c r="A62" s="1522" t="s">
        <v>536</v>
      </c>
      <c r="B62" s="1523"/>
      <c r="C62" s="1523"/>
      <c r="D62" s="1523"/>
      <c r="E62" s="1523"/>
      <c r="F62" s="1523"/>
      <c r="G62" s="1523"/>
      <c r="H62" s="1523"/>
      <c r="I62" s="1523"/>
      <c r="J62" s="1523"/>
      <c r="K62" s="1523"/>
      <c r="L62" s="1523"/>
      <c r="M62" s="1523"/>
      <c r="N62" s="1523"/>
      <c r="O62" s="1523"/>
      <c r="P62" s="1523"/>
      <c r="Q62" s="1523"/>
      <c r="R62" s="1523"/>
      <c r="S62" s="1523"/>
      <c r="T62" s="1523"/>
      <c r="U62" s="1524"/>
      <c r="V62" s="603">
        <v>1502013</v>
      </c>
      <c r="W62" s="563">
        <f>Лист1!A1*26600</f>
        <v>29260.000000000004</v>
      </c>
      <c r="X62" s="296">
        <v>1524004</v>
      </c>
      <c r="Y62" s="563">
        <f>Лист1!A1*6000</f>
        <v>6600.000000000001</v>
      </c>
      <c r="Z62" s="1"/>
    </row>
    <row r="63" spans="1:26" ht="23.25" customHeight="1">
      <c r="A63" s="1522" t="s">
        <v>537</v>
      </c>
      <c r="B63" s="1523"/>
      <c r="C63" s="1523"/>
      <c r="D63" s="1523"/>
      <c r="E63" s="1523"/>
      <c r="F63" s="1523"/>
      <c r="G63" s="1523"/>
      <c r="H63" s="1523"/>
      <c r="I63" s="1523"/>
      <c r="J63" s="1523"/>
      <c r="K63" s="1523"/>
      <c r="L63" s="1523"/>
      <c r="M63" s="1523"/>
      <c r="N63" s="1523"/>
      <c r="O63" s="1523"/>
      <c r="P63" s="1523"/>
      <c r="Q63" s="1523"/>
      <c r="R63" s="1523"/>
      <c r="S63" s="1523"/>
      <c r="T63" s="1523"/>
      <c r="U63" s="1524"/>
      <c r="V63" s="603">
        <v>1502014</v>
      </c>
      <c r="W63" s="563">
        <f>Лист1!A1*20250</f>
        <v>22275</v>
      </c>
      <c r="X63" s="21">
        <v>1524004</v>
      </c>
      <c r="Y63" s="563">
        <f>Лист1!A1*6000</f>
        <v>6600.000000000001</v>
      </c>
      <c r="Z63" s="1"/>
    </row>
    <row r="64" spans="1:26" ht="3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598"/>
      <c r="W64" s="604"/>
      <c r="X64" s="604"/>
      <c r="Y64" s="604"/>
      <c r="Z64" s="1"/>
    </row>
    <row r="65" spans="1:26" ht="15">
      <c r="A65" s="1516" t="s">
        <v>538</v>
      </c>
      <c r="B65" s="1517"/>
      <c r="C65" s="1517"/>
      <c r="D65" s="1517"/>
      <c r="E65" s="1517"/>
      <c r="F65" s="1517"/>
      <c r="G65" s="1517"/>
      <c r="H65" s="1517"/>
      <c r="I65" s="1517"/>
      <c r="J65" s="1517"/>
      <c r="K65" s="1517"/>
      <c r="L65" s="1517"/>
      <c r="M65" s="1517"/>
      <c r="N65" s="1517"/>
      <c r="O65" s="1517"/>
      <c r="P65" s="1517"/>
      <c r="Q65" s="1517"/>
      <c r="R65" s="1517"/>
      <c r="S65" s="1517"/>
      <c r="T65" s="1517"/>
      <c r="U65" s="1518"/>
      <c r="V65" s="600" t="s">
        <v>530</v>
      </c>
      <c r="W65" s="601"/>
      <c r="X65" s="602" t="s">
        <v>539</v>
      </c>
      <c r="Y65" s="601"/>
      <c r="Z65" s="1"/>
    </row>
    <row r="66" spans="1:26" ht="15">
      <c r="A66" s="1525" t="s">
        <v>540</v>
      </c>
      <c r="B66" s="1520"/>
      <c r="C66" s="1520"/>
      <c r="D66" s="1520"/>
      <c r="E66" s="1520"/>
      <c r="F66" s="1520"/>
      <c r="G66" s="1520"/>
      <c r="H66" s="1520"/>
      <c r="I66" s="1520"/>
      <c r="J66" s="1520"/>
      <c r="K66" s="1520"/>
      <c r="L66" s="1520"/>
      <c r="M66" s="1520"/>
      <c r="N66" s="1520"/>
      <c r="O66" s="1520"/>
      <c r="P66" s="1520"/>
      <c r="Q66" s="1520"/>
      <c r="R66" s="1520"/>
      <c r="S66" s="1520"/>
      <c r="T66" s="1520"/>
      <c r="U66" s="1521"/>
      <c r="V66" s="565">
        <v>1502009</v>
      </c>
      <c r="W66" s="563">
        <f>Лист1!A1*16950</f>
        <v>18645</v>
      </c>
      <c r="X66" s="194" t="s">
        <v>36</v>
      </c>
      <c r="Y66" s="605" t="s">
        <v>36</v>
      </c>
      <c r="Z66" s="1"/>
    </row>
    <row r="67" spans="1:26" ht="15">
      <c r="A67" s="1525" t="s">
        <v>541</v>
      </c>
      <c r="B67" s="1520"/>
      <c r="C67" s="1520"/>
      <c r="D67" s="1520"/>
      <c r="E67" s="1520"/>
      <c r="F67" s="1520"/>
      <c r="G67" s="1520"/>
      <c r="H67" s="1520"/>
      <c r="I67" s="1520"/>
      <c r="J67" s="1520"/>
      <c r="K67" s="1520"/>
      <c r="L67" s="1520"/>
      <c r="M67" s="1520"/>
      <c r="N67" s="1520"/>
      <c r="O67" s="1520"/>
      <c r="P67" s="1520"/>
      <c r="Q67" s="1520"/>
      <c r="R67" s="1520"/>
      <c r="S67" s="1520"/>
      <c r="T67" s="1520"/>
      <c r="U67" s="1521"/>
      <c r="V67" s="606" t="s">
        <v>36</v>
      </c>
      <c r="W67" s="607" t="s">
        <v>36</v>
      </c>
      <c r="X67" s="345">
        <v>1502010</v>
      </c>
      <c r="Y67" s="563">
        <f>Лист1!A1*16950</f>
        <v>18645</v>
      </c>
      <c r="Z67" s="1"/>
    </row>
    <row r="68" spans="1:26" ht="15">
      <c r="A68" s="1525" t="s">
        <v>542</v>
      </c>
      <c r="B68" s="1520"/>
      <c r="C68" s="1520"/>
      <c r="D68" s="1520"/>
      <c r="E68" s="1520"/>
      <c r="F68" s="1520"/>
      <c r="G68" s="1520"/>
      <c r="H68" s="1520"/>
      <c r="I68" s="1520"/>
      <c r="J68" s="1520"/>
      <c r="K68" s="1520"/>
      <c r="L68" s="1520"/>
      <c r="M68" s="1520"/>
      <c r="N68" s="1520"/>
      <c r="O68" s="1520"/>
      <c r="P68" s="1520"/>
      <c r="Q68" s="1520"/>
      <c r="R68" s="1520"/>
      <c r="S68" s="1520"/>
      <c r="T68" s="1520"/>
      <c r="U68" s="1521"/>
      <c r="V68" s="608" t="s">
        <v>36</v>
      </c>
      <c r="W68" s="609" t="s">
        <v>36</v>
      </c>
      <c r="X68" s="610">
        <v>1502011</v>
      </c>
      <c r="Y68" s="545">
        <f>Лист1!A1*24900</f>
        <v>27390.000000000004</v>
      </c>
      <c r="Z68" s="1"/>
    </row>
    <row r="69" spans="1:26" ht="5.25" customHeight="1">
      <c r="A69" s="1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222"/>
      <c r="V69" s="15"/>
      <c r="W69" s="409"/>
      <c r="X69" s="409"/>
      <c r="Y69" s="30"/>
      <c r="Z69" s="1"/>
    </row>
    <row r="70" spans="1:26" ht="15">
      <c r="A70" s="1516" t="s">
        <v>543</v>
      </c>
      <c r="B70" s="1517"/>
      <c r="C70" s="1517"/>
      <c r="D70" s="1517"/>
      <c r="E70" s="1517"/>
      <c r="F70" s="1517"/>
      <c r="G70" s="1517"/>
      <c r="H70" s="1517"/>
      <c r="I70" s="1517"/>
      <c r="J70" s="1517"/>
      <c r="K70" s="1517"/>
      <c r="L70" s="1517"/>
      <c r="M70" s="1517"/>
      <c r="N70" s="1517"/>
      <c r="O70" s="1517"/>
      <c r="P70" s="1517"/>
      <c r="Q70" s="1517"/>
      <c r="R70" s="1517"/>
      <c r="S70" s="1517"/>
      <c r="T70" s="1517"/>
      <c r="U70" s="1518"/>
      <c r="V70" s="600" t="s">
        <v>708</v>
      </c>
      <c r="W70" s="601"/>
      <c r="X70" s="602" t="s">
        <v>534</v>
      </c>
      <c r="Y70" s="601"/>
      <c r="Z70" s="1"/>
    </row>
    <row r="71" spans="1:26" ht="15">
      <c r="A71" s="1519" t="s">
        <v>544</v>
      </c>
      <c r="B71" s="1520"/>
      <c r="C71" s="1520"/>
      <c r="D71" s="1520"/>
      <c r="E71" s="1520"/>
      <c r="F71" s="1520"/>
      <c r="G71" s="1520"/>
      <c r="H71" s="1520"/>
      <c r="I71" s="1520"/>
      <c r="J71" s="1520"/>
      <c r="K71" s="1520"/>
      <c r="L71" s="1520"/>
      <c r="M71" s="1520"/>
      <c r="N71" s="1520"/>
      <c r="O71" s="1520"/>
      <c r="P71" s="1520"/>
      <c r="Q71" s="1520"/>
      <c r="R71" s="1520"/>
      <c r="S71" s="1520"/>
      <c r="T71" s="1520"/>
      <c r="U71" s="1521"/>
      <c r="V71" s="611">
        <v>1502012</v>
      </c>
      <c r="W71" s="545">
        <f>Лист1!A1*20100</f>
        <v>22110</v>
      </c>
      <c r="X71" s="612">
        <v>1524001</v>
      </c>
      <c r="Y71" s="545">
        <f>Лист1!A1*6000</f>
        <v>6600.000000000001</v>
      </c>
      <c r="Z71" s="1"/>
    </row>
    <row r="72" spans="1:26" ht="3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393" t="s">
        <v>234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4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</sheetData>
  <sheetProtection password="C651" sheet="1"/>
  <mergeCells count="77">
    <mergeCell ref="K17:W17"/>
    <mergeCell ref="X6:Y6"/>
    <mergeCell ref="E7:W7"/>
    <mergeCell ref="G10:W10"/>
    <mergeCell ref="G9:W9"/>
    <mergeCell ref="J12:W12"/>
    <mergeCell ref="J13:W13"/>
    <mergeCell ref="X10:Y10"/>
    <mergeCell ref="X9:Y9"/>
    <mergeCell ref="X14:Y14"/>
    <mergeCell ref="P29:W29"/>
    <mergeCell ref="P30:W30"/>
    <mergeCell ref="P31:W31"/>
    <mergeCell ref="P32:W32"/>
    <mergeCell ref="K19:W19"/>
    <mergeCell ref="C4:W4"/>
    <mergeCell ref="C5:W5"/>
    <mergeCell ref="J14:W14"/>
    <mergeCell ref="J15:W15"/>
    <mergeCell ref="K18:W18"/>
    <mergeCell ref="X38:Y38"/>
    <mergeCell ref="R39:W39"/>
    <mergeCell ref="X32:Y32"/>
    <mergeCell ref="K20:W20"/>
    <mergeCell ref="N22:W22"/>
    <mergeCell ref="N23:W23"/>
    <mergeCell ref="N24:W24"/>
    <mergeCell ref="N25:W25"/>
    <mergeCell ref="P27:W27"/>
    <mergeCell ref="P28:W28"/>
    <mergeCell ref="R40:W40"/>
    <mergeCell ref="P33:W33"/>
    <mergeCell ref="X33:Y33"/>
    <mergeCell ref="P34:W34"/>
    <mergeCell ref="R35:W35"/>
    <mergeCell ref="R36:W36"/>
    <mergeCell ref="X36:Y36"/>
    <mergeCell ref="R37:W37"/>
    <mergeCell ref="X37:Y37"/>
    <mergeCell ref="R38:W38"/>
    <mergeCell ref="S42:W42"/>
    <mergeCell ref="X42:Y42"/>
    <mergeCell ref="B43:Q43"/>
    <mergeCell ref="S43:W43"/>
    <mergeCell ref="B44:Q44"/>
    <mergeCell ref="S44:W44"/>
    <mergeCell ref="B45:Q45"/>
    <mergeCell ref="S45:W45"/>
    <mergeCell ref="B46:Q46"/>
    <mergeCell ref="S46:W46"/>
    <mergeCell ref="B47:Q47"/>
    <mergeCell ref="S47:W47"/>
    <mergeCell ref="X49:Y49"/>
    <mergeCell ref="S50:W50"/>
    <mergeCell ref="X50:Y50"/>
    <mergeCell ref="X51:Y51"/>
    <mergeCell ref="A54:U54"/>
    <mergeCell ref="A55:U55"/>
    <mergeCell ref="A67:U67"/>
    <mergeCell ref="A68:U68"/>
    <mergeCell ref="A61:U61"/>
    <mergeCell ref="A56:U56"/>
    <mergeCell ref="S48:W48"/>
    <mergeCell ref="S49:W49"/>
    <mergeCell ref="A57:U57"/>
    <mergeCell ref="A58:U58"/>
    <mergeCell ref="A60:U60"/>
    <mergeCell ref="X24:Y24"/>
    <mergeCell ref="X25:Y25"/>
    <mergeCell ref="X30:Y30"/>
    <mergeCell ref="X31:Y31"/>
    <mergeCell ref="A70:U70"/>
    <mergeCell ref="A71:U71"/>
    <mergeCell ref="A62:U62"/>
    <mergeCell ref="A63:U63"/>
    <mergeCell ref="A65:U65"/>
    <mergeCell ref="A66:U66"/>
  </mergeCells>
  <hyperlinks>
    <hyperlink ref="X2" r:id="rId1" display="www.darkont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N53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2.140625" style="0" customWidth="1"/>
    <col min="2" max="2" width="2.28125" style="0" customWidth="1"/>
    <col min="3" max="3" width="6.00390625" style="0" customWidth="1"/>
    <col min="4" max="4" width="0.71875" style="0" customWidth="1"/>
    <col min="5" max="5" width="2.421875" style="0" customWidth="1"/>
    <col min="6" max="6" width="0.85546875" style="0" customWidth="1"/>
    <col min="7" max="7" width="2.421875" style="0" customWidth="1"/>
    <col min="8" max="8" width="0.85546875" style="0" customWidth="1"/>
    <col min="9" max="9" width="2.421875" style="0" customWidth="1"/>
    <col min="10" max="10" width="0.85546875" style="0" customWidth="1"/>
    <col min="11" max="11" width="2.28125" style="0" customWidth="1"/>
    <col min="12" max="12" width="0.5625" style="0" customWidth="1"/>
    <col min="13" max="13" width="44.7109375" style="0" customWidth="1"/>
    <col min="14" max="19" width="8.421875" style="0" customWidth="1"/>
    <col min="20" max="20" width="1.8515625" style="0" customWidth="1"/>
    <col min="21" max="21" width="21.7109375" style="0" customWidth="1"/>
  </cols>
  <sheetData>
    <row r="1" spans="2:27" ht="6.75" customHeight="1">
      <c r="B1" s="981"/>
      <c r="C1" s="981"/>
      <c r="D1" s="981"/>
      <c r="E1" s="982"/>
      <c r="F1" s="982"/>
      <c r="G1" s="983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Z1" s="97"/>
      <c r="AA1" s="97"/>
    </row>
    <row r="2" spans="2:40" ht="21">
      <c r="B2" s="984"/>
      <c r="C2" s="984"/>
      <c r="D2" s="984"/>
      <c r="E2" s="984"/>
      <c r="F2" s="984"/>
      <c r="G2" s="984"/>
      <c r="H2" s="984"/>
      <c r="I2" s="984"/>
      <c r="J2" s="984"/>
      <c r="K2" s="984"/>
      <c r="L2" s="985"/>
      <c r="M2" s="986" t="s">
        <v>729</v>
      </c>
      <c r="N2" s="985"/>
      <c r="O2" s="987"/>
      <c r="P2" s="987"/>
      <c r="Q2" s="984"/>
      <c r="R2" s="984"/>
      <c r="S2" s="988"/>
      <c r="T2" s="984"/>
      <c r="Z2" s="989"/>
      <c r="AA2" s="989"/>
      <c r="AB2" s="990"/>
      <c r="AC2" s="990"/>
      <c r="AD2" s="990"/>
      <c r="AE2" s="990"/>
      <c r="AF2" s="990"/>
      <c r="AG2" s="990"/>
      <c r="AH2" s="990"/>
      <c r="AI2" s="990"/>
      <c r="AJ2" s="990"/>
      <c r="AK2" s="990"/>
      <c r="AL2" s="990"/>
      <c r="AM2" s="990"/>
      <c r="AN2" s="990"/>
    </row>
    <row r="3" spans="2:40" ht="6.75" customHeight="1">
      <c r="B3" s="991"/>
      <c r="C3" s="991"/>
      <c r="D3" s="991"/>
      <c r="E3" s="991"/>
      <c r="F3" s="991"/>
      <c r="G3" s="991"/>
      <c r="H3" s="992"/>
      <c r="I3" s="992"/>
      <c r="J3" s="992"/>
      <c r="K3" s="992"/>
      <c r="L3" s="992"/>
      <c r="M3" s="992"/>
      <c r="N3" s="992"/>
      <c r="O3" s="992"/>
      <c r="P3" s="992"/>
      <c r="Q3" s="992"/>
      <c r="R3" s="992"/>
      <c r="S3" s="992"/>
      <c r="T3" s="992"/>
      <c r="Z3" s="989"/>
      <c r="AA3" s="989"/>
      <c r="AB3" s="990"/>
      <c r="AC3" s="990"/>
      <c r="AD3" s="990"/>
      <c r="AE3" s="990"/>
      <c r="AF3" s="990"/>
      <c r="AG3" s="990"/>
      <c r="AH3" s="990"/>
      <c r="AI3" s="990"/>
      <c r="AJ3" s="990"/>
      <c r="AK3" s="990"/>
      <c r="AL3" s="990"/>
      <c r="AM3" s="990"/>
      <c r="AN3" s="990"/>
    </row>
    <row r="4" spans="2:27" s="990" customFormat="1" ht="15">
      <c r="B4" s="993"/>
      <c r="C4" s="993"/>
      <c r="D4" s="993"/>
      <c r="E4" s="993"/>
      <c r="F4" s="993"/>
      <c r="G4" s="993"/>
      <c r="H4" s="181"/>
      <c r="I4" s="181"/>
      <c r="J4" s="181"/>
      <c r="K4" s="181"/>
      <c r="L4" s="181"/>
      <c r="M4" s="181"/>
      <c r="N4" s="181"/>
      <c r="O4" s="181"/>
      <c r="P4" s="181"/>
      <c r="Q4" s="394"/>
      <c r="R4" s="394"/>
      <c r="S4" s="394"/>
      <c r="T4" s="181"/>
      <c r="W4" s="989"/>
      <c r="X4" s="989"/>
      <c r="Y4" s="989"/>
      <c r="Z4" s="989"/>
      <c r="AA4" s="989"/>
    </row>
    <row r="5" spans="2:27" ht="15">
      <c r="B5" s="394"/>
      <c r="C5" s="994"/>
      <c r="D5" s="422"/>
      <c r="E5" s="995" t="s">
        <v>153</v>
      </c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181"/>
      <c r="Y5" s="97"/>
      <c r="Z5" s="97"/>
      <c r="AA5" s="97"/>
    </row>
    <row r="6" spans="2:27" ht="15">
      <c r="B6" s="394"/>
      <c r="C6" s="996" t="s">
        <v>730</v>
      </c>
      <c r="D6" s="385"/>
      <c r="E6" s="997" t="s">
        <v>731</v>
      </c>
      <c r="F6" s="998"/>
      <c r="G6" s="998"/>
      <c r="H6" s="998"/>
      <c r="I6" s="998"/>
      <c r="J6" s="998"/>
      <c r="K6" s="998"/>
      <c r="L6" s="998"/>
      <c r="M6" s="998"/>
      <c r="N6" s="999" t="s">
        <v>730</v>
      </c>
      <c r="O6" s="1000"/>
      <c r="P6" s="1000"/>
      <c r="Q6" s="1000"/>
      <c r="R6" s="1000"/>
      <c r="S6" s="1000"/>
      <c r="T6" s="181"/>
      <c r="Y6" s="97"/>
      <c r="Z6" s="97"/>
      <c r="AA6" s="97"/>
    </row>
    <row r="7" spans="2:27" ht="15">
      <c r="B7" s="394"/>
      <c r="C7" s="996" t="s">
        <v>732</v>
      </c>
      <c r="D7" s="990"/>
      <c r="E7" s="1001" t="s">
        <v>733</v>
      </c>
      <c r="F7" s="1002"/>
      <c r="G7" s="1002"/>
      <c r="H7" s="1002"/>
      <c r="I7" s="1002"/>
      <c r="J7" s="1002"/>
      <c r="K7" s="998"/>
      <c r="L7" s="998"/>
      <c r="M7" s="998"/>
      <c r="N7" s="1003"/>
      <c r="O7" s="999" t="s">
        <v>732</v>
      </c>
      <c r="P7" s="1000"/>
      <c r="Q7" s="1000"/>
      <c r="R7" s="1000"/>
      <c r="S7" s="1000"/>
      <c r="T7" s="181"/>
      <c r="Y7" s="97"/>
      <c r="Z7" s="97"/>
      <c r="AA7" s="97"/>
    </row>
    <row r="8" spans="2:27" ht="15">
      <c r="B8" s="1004"/>
      <c r="C8" s="996" t="s">
        <v>734</v>
      </c>
      <c r="D8" s="1005"/>
      <c r="E8" s="997" t="s">
        <v>735</v>
      </c>
      <c r="F8" s="1006"/>
      <c r="G8" s="1006"/>
      <c r="H8" s="1006"/>
      <c r="I8" s="1006"/>
      <c r="J8" s="1006"/>
      <c r="K8" s="1006"/>
      <c r="L8" s="1006"/>
      <c r="M8" s="1006"/>
      <c r="N8" s="1007"/>
      <c r="O8" s="1008"/>
      <c r="P8" s="999" t="s">
        <v>734</v>
      </c>
      <c r="Q8" s="1009"/>
      <c r="R8" s="1009"/>
      <c r="S8" s="1009"/>
      <c r="T8" s="1010"/>
      <c r="Y8" s="97"/>
      <c r="Z8" s="97"/>
      <c r="AA8" s="97"/>
    </row>
    <row r="9" spans="2:27" ht="15">
      <c r="B9" s="1004"/>
      <c r="C9" s="1011" t="s">
        <v>736</v>
      </c>
      <c r="D9" s="1005"/>
      <c r="E9" s="997" t="s">
        <v>737</v>
      </c>
      <c r="F9" s="1006"/>
      <c r="G9" s="1006"/>
      <c r="H9" s="1006"/>
      <c r="I9" s="1006"/>
      <c r="J9" s="1006"/>
      <c r="K9" s="1006"/>
      <c r="L9" s="1006"/>
      <c r="M9" s="1006"/>
      <c r="N9" s="1007"/>
      <c r="O9" s="1012"/>
      <c r="P9" s="1013"/>
      <c r="Q9" s="1014" t="s">
        <v>736</v>
      </c>
      <c r="R9" s="1009"/>
      <c r="S9" s="1009"/>
      <c r="T9" s="1010"/>
      <c r="Y9" s="97"/>
      <c r="Z9" s="97"/>
      <c r="AA9" s="97"/>
    </row>
    <row r="10" spans="2:27" ht="15">
      <c r="B10" s="1004"/>
      <c r="C10" s="1011" t="s">
        <v>738</v>
      </c>
      <c r="D10" s="1005"/>
      <c r="E10" s="997" t="s">
        <v>739</v>
      </c>
      <c r="F10" s="1006"/>
      <c r="G10" s="1006"/>
      <c r="H10" s="1006"/>
      <c r="I10" s="1006"/>
      <c r="J10" s="1006"/>
      <c r="K10" s="1006"/>
      <c r="L10" s="1006"/>
      <c r="M10" s="1006"/>
      <c r="N10" s="1007"/>
      <c r="O10" s="1012"/>
      <c r="P10" s="1013"/>
      <c r="Q10" s="1015"/>
      <c r="R10" s="1014" t="s">
        <v>738</v>
      </c>
      <c r="S10" s="1009"/>
      <c r="T10" s="1010"/>
      <c r="U10" s="97"/>
      <c r="V10" s="1016"/>
      <c r="W10" s="1017"/>
      <c r="X10" s="1018"/>
      <c r="Y10" s="97"/>
      <c r="Z10" s="97"/>
      <c r="AA10" s="97"/>
    </row>
    <row r="11" spans="2:27" ht="15">
      <c r="B11" s="1004"/>
      <c r="C11" s="1019" t="s">
        <v>740</v>
      </c>
      <c r="D11" s="1005"/>
      <c r="E11" s="1020" t="s">
        <v>741</v>
      </c>
      <c r="F11" s="1006"/>
      <c r="G11" s="1006"/>
      <c r="H11" s="1006"/>
      <c r="I11" s="1006"/>
      <c r="J11" s="1006"/>
      <c r="K11" s="1006"/>
      <c r="L11" s="1006"/>
      <c r="M11" s="1006"/>
      <c r="N11" s="1007"/>
      <c r="O11" s="1012"/>
      <c r="P11" s="1013"/>
      <c r="Q11" s="1013"/>
      <c r="R11" s="1015"/>
      <c r="S11" s="1014" t="s">
        <v>740</v>
      </c>
      <c r="T11" s="1010"/>
      <c r="U11" s="97"/>
      <c r="V11" s="1016"/>
      <c r="W11" s="1021"/>
      <c r="X11" s="97"/>
      <c r="Y11" s="97"/>
      <c r="Z11" s="97"/>
      <c r="AA11" s="97"/>
    </row>
    <row r="12" spans="2:20" ht="15">
      <c r="B12" s="394"/>
      <c r="C12" s="394"/>
      <c r="D12" s="394"/>
      <c r="E12" s="394"/>
      <c r="F12" s="394"/>
      <c r="G12" s="1022" t="s">
        <v>742</v>
      </c>
      <c r="H12" s="394"/>
      <c r="I12" s="394"/>
      <c r="J12" s="394"/>
      <c r="K12" s="394"/>
      <c r="L12" s="394"/>
      <c r="M12" s="394"/>
      <c r="N12" s="1023"/>
      <c r="O12" s="394"/>
      <c r="P12" s="1578" t="s">
        <v>126</v>
      </c>
      <c r="Q12" s="1578"/>
      <c r="R12" s="394"/>
      <c r="S12" s="1025"/>
      <c r="T12" s="394"/>
    </row>
    <row r="13" spans="2:20" ht="15">
      <c r="B13" s="394"/>
      <c r="C13" s="394"/>
      <c r="D13" s="394"/>
      <c r="E13" s="1026" t="s">
        <v>32</v>
      </c>
      <c r="F13" s="1027"/>
      <c r="G13" s="1028" t="s">
        <v>743</v>
      </c>
      <c r="H13" s="1006"/>
      <c r="I13" s="1006"/>
      <c r="J13" s="1006"/>
      <c r="K13" s="1006"/>
      <c r="L13" s="1006"/>
      <c r="M13" s="1029"/>
      <c r="N13" s="1090">
        <f>Лист1!A1*2640</f>
        <v>2904.0000000000005</v>
      </c>
      <c r="O13" s="1091">
        <f>Лист1!A1*2700</f>
        <v>2970.0000000000005</v>
      </c>
      <c r="P13" s="1091">
        <f>Лист1!A1*3350</f>
        <v>3685.0000000000005</v>
      </c>
      <c r="Q13" s="1092">
        <f>Лист1!A1*4600</f>
        <v>5060</v>
      </c>
      <c r="R13" s="1092">
        <f>Лист1!A1*8100</f>
        <v>8910</v>
      </c>
      <c r="S13" s="1093">
        <f>Лист1!A1*11440</f>
        <v>12584.000000000002</v>
      </c>
      <c r="T13" s="394"/>
    </row>
    <row r="14" spans="2:20" ht="15">
      <c r="B14" s="394"/>
      <c r="C14" s="394"/>
      <c r="D14" s="394"/>
      <c r="E14" s="394"/>
      <c r="F14" s="394"/>
      <c r="G14" s="394"/>
      <c r="H14" s="394"/>
      <c r="I14" s="1022" t="s">
        <v>744</v>
      </c>
      <c r="J14" s="394"/>
      <c r="K14" s="394"/>
      <c r="L14" s="394"/>
      <c r="M14" s="394"/>
      <c r="N14" s="181"/>
      <c r="O14" s="181"/>
      <c r="P14" s="394"/>
      <c r="Q14" s="181"/>
      <c r="R14" s="1030"/>
      <c r="S14" s="1030"/>
      <c r="T14" s="394"/>
    </row>
    <row r="15" spans="2:20" ht="15">
      <c r="B15" s="394"/>
      <c r="C15" s="394"/>
      <c r="D15" s="394"/>
      <c r="E15" s="394"/>
      <c r="F15" s="394"/>
      <c r="G15" s="1031" t="s">
        <v>445</v>
      </c>
      <c r="H15" s="1027"/>
      <c r="I15" s="1006" t="s">
        <v>745</v>
      </c>
      <c r="J15" s="1006"/>
      <c r="K15" s="1006"/>
      <c r="L15" s="1006"/>
      <c r="M15" s="1006"/>
      <c r="N15" s="1032">
        <v>75</v>
      </c>
      <c r="O15" s="1032">
        <v>75</v>
      </c>
      <c r="P15" s="1579">
        <v>150</v>
      </c>
      <c r="Q15" s="1580"/>
      <c r="R15" s="1580"/>
      <c r="S15" s="1581"/>
      <c r="T15" s="394"/>
    </row>
    <row r="16" spans="2:20" ht="15">
      <c r="B16" s="394"/>
      <c r="C16" s="394"/>
      <c r="D16" s="394"/>
      <c r="E16" s="394"/>
      <c r="F16" s="394"/>
      <c r="G16" s="394"/>
      <c r="H16" s="394"/>
      <c r="I16" s="394"/>
      <c r="J16" s="394"/>
      <c r="K16" s="1033" t="s">
        <v>189</v>
      </c>
      <c r="L16" s="394"/>
      <c r="M16" s="394"/>
      <c r="N16" s="181"/>
      <c r="O16" s="1582" t="s">
        <v>746</v>
      </c>
      <c r="P16" s="1583"/>
      <c r="Q16" s="1583"/>
      <c r="R16" s="1583"/>
      <c r="S16" s="1030"/>
      <c r="T16" s="394"/>
    </row>
    <row r="17" spans="2:20" ht="15">
      <c r="B17" s="394"/>
      <c r="C17" s="394"/>
      <c r="D17" s="394"/>
      <c r="E17" s="394"/>
      <c r="F17" s="394"/>
      <c r="G17" s="394"/>
      <c r="H17" s="394"/>
      <c r="I17" s="1034" t="s">
        <v>445</v>
      </c>
      <c r="J17" s="1027"/>
      <c r="K17" s="1035" t="s">
        <v>747</v>
      </c>
      <c r="L17" s="1036"/>
      <c r="M17" s="1036"/>
      <c r="N17" s="1584" t="s">
        <v>36</v>
      </c>
      <c r="O17" s="1585"/>
      <c r="P17" s="1585"/>
      <c r="Q17" s="1585"/>
      <c r="R17" s="1585"/>
      <c r="S17" s="1586"/>
      <c r="T17" s="394"/>
    </row>
    <row r="18" spans="2:20" ht="15">
      <c r="B18" s="394"/>
      <c r="C18" s="394"/>
      <c r="D18" s="394"/>
      <c r="E18" s="394"/>
      <c r="F18" s="394"/>
      <c r="G18" s="394"/>
      <c r="H18" s="394"/>
      <c r="I18" s="1037" t="s">
        <v>444</v>
      </c>
      <c r="J18" s="1027"/>
      <c r="K18" s="1038" t="s">
        <v>748</v>
      </c>
      <c r="L18" s="1036"/>
      <c r="M18" s="1027"/>
      <c r="N18" s="1587" t="s">
        <v>36</v>
      </c>
      <c r="O18" s="1588"/>
      <c r="P18" s="1588"/>
      <c r="Q18" s="1588"/>
      <c r="R18" s="1588"/>
      <c r="S18" s="1589"/>
      <c r="T18" s="394"/>
    </row>
    <row r="19" spans="2:20" ht="15">
      <c r="B19" s="394"/>
      <c r="C19" s="394"/>
      <c r="D19" s="394"/>
      <c r="E19" s="394"/>
      <c r="F19" s="394"/>
      <c r="G19" s="394"/>
      <c r="H19" s="394"/>
      <c r="I19" s="1037" t="s">
        <v>749</v>
      </c>
      <c r="J19" s="1027"/>
      <c r="K19" s="1038" t="s">
        <v>750</v>
      </c>
      <c r="L19" s="1036"/>
      <c r="M19" s="1027"/>
      <c r="N19" s="1039" t="s">
        <v>36</v>
      </c>
      <c r="O19" s="1040" t="s">
        <v>36</v>
      </c>
      <c r="P19" s="1094">
        <f>Лист1!A1*12500</f>
        <v>13750.000000000002</v>
      </c>
      <c r="Q19" s="1094">
        <f>Лист1!A1*15100</f>
        <v>16610</v>
      </c>
      <c r="R19" s="1094">
        <f>Лист1!A1*17000</f>
        <v>18700</v>
      </c>
      <c r="S19" s="1095">
        <f>Лист1!A1*20100</f>
        <v>22110</v>
      </c>
      <c r="T19" s="394"/>
    </row>
    <row r="20" spans="2:20" ht="15">
      <c r="B20" s="394"/>
      <c r="C20" s="394"/>
      <c r="D20" s="394"/>
      <c r="E20" s="394"/>
      <c r="F20" s="394"/>
      <c r="G20" s="394"/>
      <c r="H20" s="394"/>
      <c r="I20" s="1034" t="s">
        <v>751</v>
      </c>
      <c r="J20" s="1041"/>
      <c r="K20" s="1042" t="s">
        <v>752</v>
      </c>
      <c r="L20" s="1036"/>
      <c r="M20" s="1027"/>
      <c r="N20" s="1039" t="s">
        <v>36</v>
      </c>
      <c r="O20" s="1040" t="s">
        <v>36</v>
      </c>
      <c r="P20" s="1094">
        <f>Лист1!A1*13800</f>
        <v>15180.000000000002</v>
      </c>
      <c r="Q20" s="1094">
        <f>Лист1!A1*16700</f>
        <v>18370</v>
      </c>
      <c r="R20" s="1094">
        <f>Лист1!A1*18500</f>
        <v>20350</v>
      </c>
      <c r="S20" s="1095">
        <f>Лист1!A1*21300</f>
        <v>23430.000000000004</v>
      </c>
      <c r="T20" s="394"/>
    </row>
    <row r="21" spans="2:20" ht="15">
      <c r="B21" s="394"/>
      <c r="C21" s="394"/>
      <c r="D21" s="394"/>
      <c r="E21" s="394"/>
      <c r="F21" s="394"/>
      <c r="G21" s="394"/>
      <c r="H21" s="394"/>
      <c r="I21" s="1043" t="s">
        <v>753</v>
      </c>
      <c r="J21" s="1027"/>
      <c r="K21" s="1006" t="s">
        <v>754</v>
      </c>
      <c r="L21" s="1036"/>
      <c r="M21" s="1036"/>
      <c r="N21" s="1590" t="s">
        <v>755</v>
      </c>
      <c r="O21" s="1591"/>
      <c r="P21" s="1591"/>
      <c r="Q21" s="1591"/>
      <c r="R21" s="1591"/>
      <c r="S21" s="1592"/>
      <c r="T21" s="394"/>
    </row>
    <row r="22" spans="2:20" ht="15">
      <c r="B22" s="181"/>
      <c r="C22" s="1574" t="s">
        <v>756</v>
      </c>
      <c r="D22" s="1575"/>
      <c r="E22" s="1575"/>
      <c r="F22" s="1575"/>
      <c r="G22" s="1575"/>
      <c r="H22" s="1575"/>
      <c r="I22" s="1575"/>
      <c r="J22" s="1575"/>
      <c r="K22" s="1575"/>
      <c r="L22" s="1575"/>
      <c r="M22" s="1575"/>
      <c r="N22" s="394"/>
      <c r="O22" s="394"/>
      <c r="P22" s="1030"/>
      <c r="Q22" s="1030"/>
      <c r="R22" s="1030"/>
      <c r="S22" s="1030"/>
      <c r="T22" s="394"/>
    </row>
    <row r="23" spans="2:20" ht="15"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1044" t="s">
        <v>757</v>
      </c>
      <c r="Q23" s="394"/>
      <c r="R23" s="1045"/>
      <c r="S23" s="1045"/>
      <c r="T23" s="394"/>
    </row>
    <row r="24" spans="2:33" ht="15">
      <c r="B24" s="1046"/>
      <c r="C24" s="1047" t="s">
        <v>736</v>
      </c>
      <c r="D24" s="1044"/>
      <c r="E24" s="1047" t="s">
        <v>32</v>
      </c>
      <c r="F24" s="1044"/>
      <c r="G24" s="1047">
        <v>1</v>
      </c>
      <c r="H24" s="1044"/>
      <c r="I24" s="1047">
        <v>1</v>
      </c>
      <c r="J24" s="1000"/>
      <c r="K24" s="1000"/>
      <c r="L24" s="1000"/>
      <c r="M24" s="1000"/>
      <c r="N24" s="1048" t="s">
        <v>758</v>
      </c>
      <c r="O24" s="1048" t="s">
        <v>758</v>
      </c>
      <c r="P24" s="1049" t="s">
        <v>759</v>
      </c>
      <c r="Q24" s="1050" t="s">
        <v>58</v>
      </c>
      <c r="R24" s="1051" t="s">
        <v>760</v>
      </c>
      <c r="S24" s="1052" t="s">
        <v>761</v>
      </c>
      <c r="T24" s="181"/>
      <c r="U24" s="427"/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7"/>
    </row>
    <row r="25" spans="2:33" ht="15">
      <c r="B25" s="394"/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181"/>
      <c r="U25" s="427"/>
      <c r="V25" s="427"/>
      <c r="W25" s="427"/>
      <c r="X25" s="427"/>
      <c r="Y25" s="427"/>
      <c r="Z25" s="427"/>
      <c r="AA25" s="427"/>
      <c r="AB25" s="427"/>
      <c r="AC25" s="427"/>
      <c r="AD25" s="427"/>
      <c r="AE25" s="427"/>
      <c r="AF25" s="427"/>
      <c r="AG25" s="427"/>
    </row>
    <row r="26" spans="20:33" ht="15">
      <c r="T26" s="427"/>
      <c r="U26" s="427"/>
      <c r="V26" s="427"/>
      <c r="W26" s="427"/>
      <c r="X26" s="427"/>
      <c r="Y26" s="427"/>
      <c r="Z26" s="427"/>
      <c r="AA26" s="427"/>
      <c r="AB26" s="427"/>
      <c r="AC26" s="427"/>
      <c r="AD26" s="427"/>
      <c r="AE26" s="427"/>
      <c r="AF26" s="427"/>
      <c r="AG26" s="427"/>
    </row>
    <row r="27" spans="20:33" ht="15">
      <c r="T27" s="427"/>
      <c r="U27" s="427"/>
      <c r="V27" s="427"/>
      <c r="W27" s="427"/>
      <c r="X27" s="427"/>
      <c r="Y27" s="427"/>
      <c r="Z27" s="427"/>
      <c r="AA27" s="427"/>
      <c r="AB27" s="427"/>
      <c r="AC27" s="427"/>
      <c r="AD27" s="427"/>
      <c r="AE27" s="427"/>
      <c r="AF27" s="427"/>
      <c r="AG27" s="427"/>
    </row>
    <row r="28" spans="2:35" ht="15">
      <c r="B28" s="993"/>
      <c r="C28" s="1053" t="s">
        <v>762</v>
      </c>
      <c r="D28" s="993"/>
      <c r="E28" s="993"/>
      <c r="F28" s="993"/>
      <c r="G28" s="993"/>
      <c r="H28" s="181"/>
      <c r="I28" s="181"/>
      <c r="J28" s="181"/>
      <c r="K28" s="181"/>
      <c r="L28" s="181"/>
      <c r="M28" s="181"/>
      <c r="N28" s="181"/>
      <c r="O28" s="394"/>
      <c r="P28" s="394"/>
      <c r="Q28" s="394"/>
      <c r="R28" s="394"/>
      <c r="S28" s="394"/>
      <c r="T28" s="394"/>
      <c r="U28" s="990"/>
      <c r="V28" s="990"/>
      <c r="AI28" s="427"/>
    </row>
    <row r="29" spans="2:22" ht="15">
      <c r="B29" s="394"/>
      <c r="C29" s="994"/>
      <c r="D29" s="422"/>
      <c r="E29" s="1054" t="s">
        <v>153</v>
      </c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990"/>
      <c r="V29" s="990"/>
    </row>
    <row r="30" spans="2:22" ht="15">
      <c r="B30" s="394"/>
      <c r="C30" s="996" t="s">
        <v>763</v>
      </c>
      <c r="D30" s="385"/>
      <c r="E30" s="997" t="s">
        <v>737</v>
      </c>
      <c r="F30" s="998"/>
      <c r="G30" s="998"/>
      <c r="H30" s="998"/>
      <c r="I30" s="998"/>
      <c r="J30" s="998"/>
      <c r="K30" s="998"/>
      <c r="L30" s="998"/>
      <c r="M30" s="998"/>
      <c r="N30" s="998"/>
      <c r="O30" s="999" t="s">
        <v>763</v>
      </c>
      <c r="P30" s="1000"/>
      <c r="Q30" s="1000"/>
      <c r="R30" s="1000"/>
      <c r="S30" s="1000"/>
      <c r="T30" s="394"/>
      <c r="U30" s="990"/>
      <c r="V30" s="1002"/>
    </row>
    <row r="31" spans="2:22" ht="15">
      <c r="B31" s="394"/>
      <c r="C31" s="996" t="s">
        <v>764</v>
      </c>
      <c r="D31" s="990"/>
      <c r="E31" s="997" t="s">
        <v>765</v>
      </c>
      <c r="F31" s="1002"/>
      <c r="G31" s="1002"/>
      <c r="H31" s="1002"/>
      <c r="I31" s="1002"/>
      <c r="J31" s="1002"/>
      <c r="K31" s="1002"/>
      <c r="L31" s="1002"/>
      <c r="M31" s="1002"/>
      <c r="N31" s="1002"/>
      <c r="O31" s="1003"/>
      <c r="P31" s="999" t="s">
        <v>764</v>
      </c>
      <c r="Q31" s="1000"/>
      <c r="R31" s="1000"/>
      <c r="S31" s="1000"/>
      <c r="T31" s="394"/>
      <c r="U31" s="990"/>
      <c r="V31" s="1002"/>
    </row>
    <row r="32" spans="2:22" ht="15">
      <c r="B32" s="1004"/>
      <c r="C32" s="996" t="s">
        <v>766</v>
      </c>
      <c r="D32" s="1005"/>
      <c r="E32" s="1020" t="s">
        <v>767</v>
      </c>
      <c r="F32" s="1006"/>
      <c r="G32" s="1006"/>
      <c r="H32" s="1006"/>
      <c r="I32" s="1006"/>
      <c r="J32" s="1006"/>
      <c r="K32" s="1006"/>
      <c r="L32" s="1006"/>
      <c r="M32" s="1006"/>
      <c r="N32" s="1006"/>
      <c r="O32" s="1007"/>
      <c r="P32" s="1008"/>
      <c r="Q32" s="999" t="s">
        <v>766</v>
      </c>
      <c r="R32" s="1009"/>
      <c r="S32" s="1009"/>
      <c r="T32" s="394"/>
      <c r="U32" s="990"/>
      <c r="V32" s="1055"/>
    </row>
    <row r="33" spans="2:22" ht="15">
      <c r="B33" s="1004"/>
      <c r="C33" s="1011" t="s">
        <v>768</v>
      </c>
      <c r="D33" s="1005"/>
      <c r="E33" s="997" t="s">
        <v>769</v>
      </c>
      <c r="F33" s="1006"/>
      <c r="G33" s="1006"/>
      <c r="H33" s="1006"/>
      <c r="I33" s="1006"/>
      <c r="J33" s="1006"/>
      <c r="K33" s="1006"/>
      <c r="L33" s="1006"/>
      <c r="M33" s="1006"/>
      <c r="N33" s="1006"/>
      <c r="O33" s="1007"/>
      <c r="P33" s="1012"/>
      <c r="Q33" s="1013"/>
      <c r="R33" s="1014" t="s">
        <v>768</v>
      </c>
      <c r="S33" s="1009"/>
      <c r="T33" s="394"/>
      <c r="U33" s="990"/>
      <c r="V33" s="1055"/>
    </row>
    <row r="34" spans="2:22" ht="15">
      <c r="B34" s="1004"/>
      <c r="C34" s="1011" t="s">
        <v>770</v>
      </c>
      <c r="D34" s="1005"/>
      <c r="E34" s="997" t="s">
        <v>771</v>
      </c>
      <c r="F34" s="1006"/>
      <c r="G34" s="1006"/>
      <c r="H34" s="1006"/>
      <c r="I34" s="1006"/>
      <c r="J34" s="1006"/>
      <c r="K34" s="1006"/>
      <c r="L34" s="1006"/>
      <c r="M34" s="1006"/>
      <c r="N34" s="1006"/>
      <c r="O34" s="1007"/>
      <c r="P34" s="1012"/>
      <c r="Q34" s="1013"/>
      <c r="R34" s="1015"/>
      <c r="S34" s="1014" t="s">
        <v>770</v>
      </c>
      <c r="T34" s="394"/>
      <c r="U34" s="990"/>
      <c r="V34" s="1055"/>
    </row>
    <row r="35" spans="2:22" ht="15">
      <c r="B35" s="394"/>
      <c r="C35" s="394"/>
      <c r="D35" s="394"/>
      <c r="E35" s="394"/>
      <c r="F35" s="394"/>
      <c r="G35" s="1022" t="s">
        <v>742</v>
      </c>
      <c r="H35" s="394"/>
      <c r="I35" s="394"/>
      <c r="J35" s="394"/>
      <c r="K35" s="394"/>
      <c r="L35" s="394"/>
      <c r="M35" s="394"/>
      <c r="N35" s="394"/>
      <c r="O35" s="1023"/>
      <c r="P35" s="394"/>
      <c r="Q35" s="1024" t="s">
        <v>772</v>
      </c>
      <c r="R35" s="1056"/>
      <c r="S35" s="1025"/>
      <c r="T35" s="394"/>
      <c r="U35" s="990"/>
      <c r="V35" s="1057"/>
    </row>
    <row r="36" spans="2:22" ht="15">
      <c r="B36" s="394"/>
      <c r="C36" s="394"/>
      <c r="D36" s="394"/>
      <c r="E36" s="1026" t="s">
        <v>30</v>
      </c>
      <c r="F36" s="1027"/>
      <c r="G36" s="1028" t="s">
        <v>773</v>
      </c>
      <c r="H36" s="1006"/>
      <c r="I36" s="1006"/>
      <c r="J36" s="1006"/>
      <c r="K36" s="1006"/>
      <c r="L36" s="1006"/>
      <c r="M36" s="1006"/>
      <c r="N36" s="1006"/>
      <c r="O36" s="1090">
        <f>Лист1!A1*27000</f>
        <v>29700.000000000004</v>
      </c>
      <c r="P36" s="1091">
        <f>Лист1!A1*29000</f>
        <v>31900.000000000004</v>
      </c>
      <c r="Q36" s="1091">
        <f>Лист1!A1*32000</f>
        <v>35200</v>
      </c>
      <c r="R36" s="1091">
        <f>Лист1!A1*37000</f>
        <v>40700</v>
      </c>
      <c r="S36" s="1096">
        <f>Лист1!A1*49000</f>
        <v>53900.00000000001</v>
      </c>
      <c r="T36" s="394"/>
      <c r="U36" s="990"/>
      <c r="V36" s="1057"/>
    </row>
    <row r="37" spans="2:22" ht="15">
      <c r="B37" s="394"/>
      <c r="C37" s="394"/>
      <c r="D37" s="394"/>
      <c r="E37" s="394"/>
      <c r="F37" s="394"/>
      <c r="G37" s="394"/>
      <c r="H37" s="394"/>
      <c r="I37" s="1022" t="s">
        <v>744</v>
      </c>
      <c r="J37" s="394"/>
      <c r="K37" s="394"/>
      <c r="L37" s="394"/>
      <c r="M37" s="394"/>
      <c r="N37" s="394"/>
      <c r="O37" s="1058"/>
      <c r="P37" s="1058"/>
      <c r="Q37" s="1059"/>
      <c r="R37" s="1058"/>
      <c r="S37" s="1060"/>
      <c r="T37" s="394"/>
      <c r="U37" s="990"/>
      <c r="V37" s="1057"/>
    </row>
    <row r="38" spans="2:22" ht="15">
      <c r="B38" s="394"/>
      <c r="C38" s="394"/>
      <c r="D38" s="394"/>
      <c r="E38" s="394"/>
      <c r="F38" s="394"/>
      <c r="G38" s="1031" t="s">
        <v>445</v>
      </c>
      <c r="H38" s="1027"/>
      <c r="I38" s="1006" t="s">
        <v>774</v>
      </c>
      <c r="J38" s="1006"/>
      <c r="K38" s="1006"/>
      <c r="L38" s="1006"/>
      <c r="M38" s="1006"/>
      <c r="N38" s="1006"/>
      <c r="O38" s="1061"/>
      <c r="P38" s="1062"/>
      <c r="Q38" s="1063">
        <v>180</v>
      </c>
      <c r="R38" s="1062"/>
      <c r="S38" s="1064"/>
      <c r="T38" s="394"/>
      <c r="U38" s="990"/>
      <c r="V38" s="1057"/>
    </row>
    <row r="39" spans="2:22" ht="15">
      <c r="B39" s="394"/>
      <c r="C39" s="394"/>
      <c r="D39" s="394"/>
      <c r="E39" s="394"/>
      <c r="F39" s="394"/>
      <c r="G39" s="394"/>
      <c r="H39" s="394"/>
      <c r="I39" s="394"/>
      <c r="J39" s="394"/>
      <c r="K39" s="1033" t="s">
        <v>189</v>
      </c>
      <c r="L39" s="1033"/>
      <c r="M39" s="1033"/>
      <c r="N39" s="394"/>
      <c r="O39" s="1058"/>
      <c r="P39" s="1058"/>
      <c r="Q39" s="1065" t="s">
        <v>775</v>
      </c>
      <c r="R39" s="1066"/>
      <c r="S39" s="1060"/>
      <c r="T39" s="394"/>
      <c r="U39" s="990"/>
      <c r="V39" s="1057"/>
    </row>
    <row r="40" spans="2:22" ht="15">
      <c r="B40" s="394"/>
      <c r="C40" s="394"/>
      <c r="D40" s="394"/>
      <c r="E40" s="394"/>
      <c r="F40" s="394"/>
      <c r="G40" s="394"/>
      <c r="H40" s="394"/>
      <c r="I40" s="1034" t="s">
        <v>445</v>
      </c>
      <c r="J40" s="1027"/>
      <c r="K40" s="1035" t="s">
        <v>747</v>
      </c>
      <c r="L40" s="1036"/>
      <c r="M40" s="1036"/>
      <c r="N40" s="1036"/>
      <c r="O40" s="1067"/>
      <c r="P40" s="1068"/>
      <c r="Q40" s="1069" t="s">
        <v>36</v>
      </c>
      <c r="R40" s="1068"/>
      <c r="S40" s="1070"/>
      <c r="T40" s="394"/>
      <c r="U40" s="990"/>
      <c r="V40" s="1057"/>
    </row>
    <row r="41" spans="2:22" ht="15">
      <c r="B41" s="394"/>
      <c r="C41" s="394"/>
      <c r="D41" s="394"/>
      <c r="E41" s="394"/>
      <c r="F41" s="394"/>
      <c r="G41" s="394"/>
      <c r="H41" s="394"/>
      <c r="I41" s="1037" t="s">
        <v>444</v>
      </c>
      <c r="J41" s="1027"/>
      <c r="K41" s="1038" t="s">
        <v>748</v>
      </c>
      <c r="L41" s="1036"/>
      <c r="M41" s="1027"/>
      <c r="N41" s="1036"/>
      <c r="O41" s="1071"/>
      <c r="P41" s="1072"/>
      <c r="Q41" s="1073" t="s">
        <v>36</v>
      </c>
      <c r="R41" s="1072"/>
      <c r="S41" s="1074"/>
      <c r="T41" s="394"/>
      <c r="U41" s="990"/>
      <c r="V41" s="1057"/>
    </row>
    <row r="42" spans="2:22" ht="15">
      <c r="B42" s="394"/>
      <c r="C42" s="394"/>
      <c r="D42" s="394"/>
      <c r="E42" s="394"/>
      <c r="F42" s="394"/>
      <c r="G42" s="394"/>
      <c r="H42" s="394"/>
      <c r="I42" s="1037" t="s">
        <v>749</v>
      </c>
      <c r="J42" s="1027"/>
      <c r="K42" s="1038" t="s">
        <v>750</v>
      </c>
      <c r="L42" s="1036"/>
      <c r="M42" s="1027"/>
      <c r="N42" s="1036"/>
      <c r="O42" s="1097">
        <f>Лист1!A1*7000</f>
        <v>7700.000000000001</v>
      </c>
      <c r="P42" s="1098">
        <f>Лист1!A1*9200</f>
        <v>10120</v>
      </c>
      <c r="Q42" s="1098">
        <f>Лист1!A1*12000</f>
        <v>13200.000000000002</v>
      </c>
      <c r="R42" s="1098">
        <f>Лист1!A1*13700</f>
        <v>15070.000000000002</v>
      </c>
      <c r="S42" s="1099">
        <f>Лист1!A1*16000</f>
        <v>17600</v>
      </c>
      <c r="T42" s="394"/>
      <c r="U42" s="990"/>
      <c r="V42" s="1057"/>
    </row>
    <row r="43" spans="2:22" ht="15">
      <c r="B43" s="394"/>
      <c r="C43" s="394"/>
      <c r="D43" s="394"/>
      <c r="E43" s="394"/>
      <c r="F43" s="394"/>
      <c r="G43" s="394"/>
      <c r="H43" s="394"/>
      <c r="I43" s="1043" t="s">
        <v>753</v>
      </c>
      <c r="J43" s="1027"/>
      <c r="K43" s="1006" t="s">
        <v>754</v>
      </c>
      <c r="L43" s="1036"/>
      <c r="M43" s="1036"/>
      <c r="N43" s="1036"/>
      <c r="O43" s="1100"/>
      <c r="P43" s="1101"/>
      <c r="Q43" s="1102" t="s">
        <v>755</v>
      </c>
      <c r="R43" s="1101"/>
      <c r="S43" s="1103"/>
      <c r="T43" s="394"/>
      <c r="U43" s="990"/>
      <c r="V43" s="1057"/>
    </row>
    <row r="44" spans="2:22" ht="15">
      <c r="B44" s="394"/>
      <c r="C44" s="394"/>
      <c r="D44" s="394"/>
      <c r="E44" s="394"/>
      <c r="F44" s="394"/>
      <c r="G44" s="394"/>
      <c r="H44" s="394"/>
      <c r="I44" s="1075"/>
      <c r="J44" s="1076"/>
      <c r="K44" s="1009"/>
      <c r="L44" s="1009"/>
      <c r="M44" s="1077" t="s">
        <v>776</v>
      </c>
      <c r="N44" s="1077"/>
      <c r="O44" s="1104"/>
      <c r="P44" s="1105"/>
      <c r="Q44" s="1106"/>
      <c r="R44" s="1105"/>
      <c r="S44" s="1107"/>
      <c r="T44" s="394"/>
      <c r="U44" s="990"/>
      <c r="V44" s="1057"/>
    </row>
    <row r="45" spans="2:22" ht="15">
      <c r="B45" s="394"/>
      <c r="C45" s="394"/>
      <c r="D45" s="394"/>
      <c r="E45" s="394"/>
      <c r="F45" s="394"/>
      <c r="G45" s="394"/>
      <c r="H45" s="394"/>
      <c r="I45" s="1075"/>
      <c r="J45" s="1076"/>
      <c r="K45" s="1034" t="s">
        <v>445</v>
      </c>
      <c r="L45" s="1078"/>
      <c r="M45" s="1079" t="s">
        <v>777</v>
      </c>
      <c r="N45" s="1080"/>
      <c r="O45" s="1108"/>
      <c r="P45" s="1109"/>
      <c r="Q45" s="1102" t="s">
        <v>36</v>
      </c>
      <c r="R45" s="1109"/>
      <c r="S45" s="1110"/>
      <c r="T45" s="394"/>
      <c r="U45" s="990"/>
      <c r="V45" s="1057"/>
    </row>
    <row r="46" spans="2:22" ht="15">
      <c r="B46" s="394"/>
      <c r="C46" s="394"/>
      <c r="D46" s="394"/>
      <c r="E46" s="394"/>
      <c r="F46" s="394"/>
      <c r="G46" s="394"/>
      <c r="H46" s="394"/>
      <c r="I46" s="1075"/>
      <c r="J46" s="1076"/>
      <c r="K46" s="1043" t="s">
        <v>444</v>
      </c>
      <c r="L46" s="1078"/>
      <c r="M46" s="998" t="s">
        <v>778</v>
      </c>
      <c r="N46" s="1080"/>
      <c r="O46" s="1108"/>
      <c r="P46" s="1109"/>
      <c r="Q46" s="1098">
        <f>Лист1!A1*28000</f>
        <v>30800.000000000004</v>
      </c>
      <c r="R46" s="1109"/>
      <c r="S46" s="1110"/>
      <c r="T46" s="394"/>
      <c r="U46" s="990"/>
      <c r="V46" s="1057"/>
    </row>
    <row r="47" spans="2:22" ht="15">
      <c r="B47" s="394"/>
      <c r="C47" s="394"/>
      <c r="D47" s="394"/>
      <c r="E47" s="394"/>
      <c r="F47" s="394"/>
      <c r="G47" s="394"/>
      <c r="H47" s="394"/>
      <c r="I47" s="1075"/>
      <c r="J47" s="1076"/>
      <c r="K47" s="1043">
        <v>3</v>
      </c>
      <c r="L47" s="1078"/>
      <c r="M47" s="998" t="s">
        <v>779</v>
      </c>
      <c r="N47" s="1080"/>
      <c r="O47" s="1090">
        <f>Лист1!A1*34800</f>
        <v>38280</v>
      </c>
      <c r="P47" s="1091">
        <f>Лист1!A1*35800</f>
        <v>39380</v>
      </c>
      <c r="Q47" s="1091">
        <f>Лист1!A1*36500</f>
        <v>40150</v>
      </c>
      <c r="R47" s="1091">
        <f>Лист1!A1*37000</f>
        <v>40700</v>
      </c>
      <c r="S47" s="1096">
        <f>Лист1!A1*37600</f>
        <v>41360</v>
      </c>
      <c r="T47" s="394"/>
      <c r="U47" s="990"/>
      <c r="V47" s="1057"/>
    </row>
    <row r="48" spans="2:22" ht="15">
      <c r="B48" s="181"/>
      <c r="C48" s="1576" t="s">
        <v>756</v>
      </c>
      <c r="D48" s="1577"/>
      <c r="E48" s="1577"/>
      <c r="F48" s="1577"/>
      <c r="G48" s="1577"/>
      <c r="H48" s="1577"/>
      <c r="I48" s="1577"/>
      <c r="J48" s="1577"/>
      <c r="K48" s="1577"/>
      <c r="L48" s="1577"/>
      <c r="M48" s="1577"/>
      <c r="N48" s="181"/>
      <c r="O48" s="1059"/>
      <c r="P48" s="1059"/>
      <c r="Q48" s="1060"/>
      <c r="R48" s="1060"/>
      <c r="S48" s="1060"/>
      <c r="T48" s="394"/>
      <c r="U48" s="990"/>
      <c r="V48" s="990"/>
    </row>
    <row r="49" spans="2:22" ht="15">
      <c r="B49" s="394"/>
      <c r="C49" s="394"/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1081"/>
      <c r="P49" s="1081"/>
      <c r="Q49" s="1082" t="s">
        <v>780</v>
      </c>
      <c r="R49" s="1081"/>
      <c r="S49" s="1083"/>
      <c r="T49" s="394"/>
      <c r="U49" s="990"/>
      <c r="V49" s="990"/>
    </row>
    <row r="50" spans="2:22" ht="15">
      <c r="B50" s="1046"/>
      <c r="C50" s="1047" t="s">
        <v>768</v>
      </c>
      <c r="D50" s="1044"/>
      <c r="E50" s="1047" t="s">
        <v>30</v>
      </c>
      <c r="F50" s="1044"/>
      <c r="G50" s="1047">
        <v>1</v>
      </c>
      <c r="H50" s="1044"/>
      <c r="I50" s="1047">
        <v>1</v>
      </c>
      <c r="J50" s="1000"/>
      <c r="K50" s="1047">
        <v>2</v>
      </c>
      <c r="L50" s="1044"/>
      <c r="M50" s="1000"/>
      <c r="N50" s="1000"/>
      <c r="O50" s="1084" t="s">
        <v>781</v>
      </c>
      <c r="P50" s="1084" t="s">
        <v>782</v>
      </c>
      <c r="Q50" s="1084" t="s">
        <v>783</v>
      </c>
      <c r="R50" s="1085" t="s">
        <v>784</v>
      </c>
      <c r="S50" s="1085" t="s">
        <v>785</v>
      </c>
      <c r="T50" s="394"/>
      <c r="U50" s="990"/>
      <c r="V50" s="990"/>
    </row>
    <row r="51" spans="2:22" ht="9.75" customHeight="1">
      <c r="B51" s="394"/>
      <c r="C51" s="394"/>
      <c r="D51" s="394"/>
      <c r="E51" s="394"/>
      <c r="F51" s="394"/>
      <c r="G51" s="394"/>
      <c r="H51" s="394"/>
      <c r="I51" s="394"/>
      <c r="J51" s="394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990"/>
      <c r="V51" s="990"/>
    </row>
    <row r="52" spans="21:22" ht="15">
      <c r="U52" s="990"/>
      <c r="V52" s="990"/>
    </row>
    <row r="53" spans="21:22" ht="15">
      <c r="U53" s="990"/>
      <c r="V53" s="990"/>
    </row>
  </sheetData>
  <sheetProtection password="C651" sheet="1"/>
  <mergeCells count="8">
    <mergeCell ref="C22:M22"/>
    <mergeCell ref="C48:M48"/>
    <mergeCell ref="P12:Q12"/>
    <mergeCell ref="P15:S15"/>
    <mergeCell ref="O16:R16"/>
    <mergeCell ref="N17:S17"/>
    <mergeCell ref="N18:S18"/>
    <mergeCell ref="N21:S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72"/>
  <sheetViews>
    <sheetView showGridLines="0" zoomScalePageLayoutView="0" workbookViewId="0" topLeftCell="A10">
      <selection activeCell="X26" sqref="X26"/>
    </sheetView>
  </sheetViews>
  <sheetFormatPr defaultColWidth="9.140625" defaultRowHeight="15"/>
  <cols>
    <col min="1" max="1" width="9.28125" style="0" customWidth="1"/>
    <col min="2" max="2" width="0.5625" style="0" customWidth="1"/>
    <col min="3" max="3" width="3.00390625" style="0" customWidth="1"/>
    <col min="4" max="4" width="0.42578125" style="0" customWidth="1"/>
    <col min="5" max="5" width="3.140625" style="0" customWidth="1"/>
    <col min="6" max="6" width="0.5625" style="0" customWidth="1"/>
    <col min="7" max="7" width="3.140625" style="0" customWidth="1"/>
    <col min="8" max="8" width="0.9921875" style="0" customWidth="1"/>
    <col min="9" max="9" width="4.140625" style="0" customWidth="1"/>
    <col min="10" max="10" width="1.57421875" style="0" customWidth="1"/>
    <col min="11" max="11" width="2.7109375" style="0" customWidth="1"/>
    <col min="12" max="12" width="0.5625" style="0" customWidth="1"/>
    <col min="13" max="13" width="2.8515625" style="0" customWidth="1"/>
    <col min="14" max="14" width="0.9921875" style="0" customWidth="1"/>
    <col min="15" max="15" width="1.28515625" style="0" customWidth="1"/>
    <col min="16" max="16" width="1.421875" style="0" customWidth="1"/>
    <col min="17" max="17" width="1.28515625" style="0" customWidth="1"/>
    <col min="18" max="18" width="2.140625" style="0" customWidth="1"/>
    <col min="19" max="19" width="2.421875" style="0" customWidth="1"/>
    <col min="20" max="20" width="2.57421875" style="0" customWidth="1"/>
    <col min="21" max="21" width="8.421875" style="0" customWidth="1"/>
    <col min="22" max="22" width="49.57421875" style="0" customWidth="1"/>
    <col min="23" max="23" width="12.57421875" style="0" customWidth="1"/>
    <col min="24" max="24" width="10.28125" style="0" customWidth="1"/>
    <col min="25" max="25" width="0.85546875" style="0" customWidth="1"/>
  </cols>
  <sheetData>
    <row r="1" spans="1:26" s="473" customFormat="1" ht="18.75" customHeight="1">
      <c r="A1" s="819"/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  <c r="P1" s="820"/>
      <c r="Q1" s="820"/>
      <c r="R1" s="820"/>
      <c r="S1" s="820"/>
      <c r="T1" s="820"/>
      <c r="U1" s="820"/>
      <c r="V1" s="820"/>
      <c r="W1" s="821" t="s">
        <v>152</v>
      </c>
      <c r="X1" s="822"/>
      <c r="Y1" s="838"/>
      <c r="Z1" s="613"/>
    </row>
    <row r="2" spans="1:26" s="532" customFormat="1" ht="15" customHeight="1">
      <c r="A2" s="1653" t="s">
        <v>545</v>
      </c>
      <c r="B2" s="1654"/>
      <c r="C2" s="1654"/>
      <c r="D2" s="1654"/>
      <c r="E2" s="1654"/>
      <c r="F2" s="1654"/>
      <c r="G2" s="1654"/>
      <c r="H2" s="1654"/>
      <c r="I2" s="1654"/>
      <c r="J2" s="1654"/>
      <c r="K2" s="1654"/>
      <c r="L2" s="1654"/>
      <c r="M2" s="1654"/>
      <c r="N2" s="1654"/>
      <c r="O2" s="1654"/>
      <c r="P2" s="1654"/>
      <c r="Q2" s="1654"/>
      <c r="R2" s="1654"/>
      <c r="S2" s="1654"/>
      <c r="T2" s="1654"/>
      <c r="U2" s="1654"/>
      <c r="V2" s="1654"/>
      <c r="W2" s="818" t="s">
        <v>165</v>
      </c>
      <c r="X2" s="823"/>
      <c r="Y2" s="839"/>
      <c r="Z2" s="614"/>
    </row>
    <row r="3" spans="1:25" s="532" customFormat="1" ht="13.5" customHeight="1">
      <c r="A3" s="834"/>
      <c r="B3" s="835"/>
      <c r="C3" s="823"/>
      <c r="D3" s="835"/>
      <c r="E3" s="835"/>
      <c r="F3" s="835"/>
      <c r="G3" s="836" t="s">
        <v>546</v>
      </c>
      <c r="H3" s="835"/>
      <c r="I3" s="835"/>
      <c r="J3" s="835"/>
      <c r="K3" s="835"/>
      <c r="L3" s="835"/>
      <c r="M3" s="835"/>
      <c r="N3" s="835"/>
      <c r="O3" s="835"/>
      <c r="P3" s="835"/>
      <c r="Q3" s="835"/>
      <c r="R3" s="835"/>
      <c r="S3" s="835"/>
      <c r="T3" s="835"/>
      <c r="U3" s="835"/>
      <c r="V3" s="835"/>
      <c r="W3" s="963" t="s">
        <v>624</v>
      </c>
      <c r="X3" s="837"/>
      <c r="Y3" s="839"/>
    </row>
    <row r="4" spans="1:26" s="532" customFormat="1" ht="12.75" customHeight="1">
      <c r="A4" s="1655" t="s">
        <v>164</v>
      </c>
      <c r="B4" s="1237"/>
      <c r="C4" s="1237"/>
      <c r="D4" s="1237"/>
      <c r="E4" s="1237"/>
      <c r="F4" s="1237"/>
      <c r="G4" s="1237"/>
      <c r="H4" s="1237"/>
      <c r="I4" s="1237"/>
      <c r="J4" s="1237"/>
      <c r="K4" s="1237"/>
      <c r="L4" s="1237"/>
      <c r="M4" s="1237"/>
      <c r="N4" s="1237"/>
      <c r="O4" s="1237"/>
      <c r="P4" s="1237"/>
      <c r="Q4" s="1237"/>
      <c r="R4" s="1237"/>
      <c r="S4" s="1237"/>
      <c r="T4" s="1237"/>
      <c r="U4" s="1237"/>
      <c r="V4" s="1237"/>
      <c r="W4" s="482"/>
      <c r="X4" s="482"/>
      <c r="Y4" s="840"/>
      <c r="Z4" s="615"/>
    </row>
    <row r="5" spans="1:25" s="532" customFormat="1" ht="25.5" customHeight="1" thickBot="1">
      <c r="A5" s="962" t="s">
        <v>547</v>
      </c>
      <c r="B5" s="1656" t="s">
        <v>548</v>
      </c>
      <c r="C5" s="1657"/>
      <c r="D5" s="1657"/>
      <c r="E5" s="1657"/>
      <c r="F5" s="1657"/>
      <c r="G5" s="1657"/>
      <c r="H5" s="1657"/>
      <c r="I5" s="1657"/>
      <c r="J5" s="1657"/>
      <c r="K5" s="1657"/>
      <c r="L5" s="1657"/>
      <c r="M5" s="1657"/>
      <c r="N5" s="1657"/>
      <c r="O5" s="1657"/>
      <c r="P5" s="1657"/>
      <c r="Q5" s="1657"/>
      <c r="R5" s="1657"/>
      <c r="S5" s="1657"/>
      <c r="T5" s="1657"/>
      <c r="U5" s="1657"/>
      <c r="V5" s="1657"/>
      <c r="W5" s="616" t="s">
        <v>549</v>
      </c>
      <c r="X5" s="617" t="s">
        <v>174</v>
      </c>
      <c r="Y5" s="618"/>
    </row>
    <row r="6" spans="1:25" s="532" customFormat="1" ht="13.5" customHeight="1" thickBot="1">
      <c r="A6" s="831" t="s">
        <v>581</v>
      </c>
      <c r="B6" s="1632" t="s">
        <v>551</v>
      </c>
      <c r="C6" s="1627"/>
      <c r="D6" s="1627"/>
      <c r="E6" s="1627"/>
      <c r="F6" s="1627"/>
      <c r="G6" s="1627"/>
      <c r="H6" s="1627"/>
      <c r="I6" s="1627"/>
      <c r="J6" s="1627"/>
      <c r="K6" s="1627"/>
      <c r="L6" s="1627"/>
      <c r="M6" s="1627"/>
      <c r="N6" s="1627"/>
      <c r="O6" s="1627"/>
      <c r="P6" s="1627"/>
      <c r="Q6" s="1627"/>
      <c r="R6" s="1627"/>
      <c r="S6" s="1627"/>
      <c r="T6" s="1627"/>
      <c r="U6" s="1627"/>
      <c r="V6" s="1658"/>
      <c r="W6" s="620" t="s">
        <v>552</v>
      </c>
      <c r="X6" s="621">
        <f>Лист1!A1*8800</f>
        <v>9680</v>
      </c>
      <c r="Y6" s="618"/>
    </row>
    <row r="7" spans="1:25" s="532" customFormat="1" ht="15" customHeight="1" thickBot="1">
      <c r="A7" s="827" t="s">
        <v>643</v>
      </c>
      <c r="B7" s="1638" t="s">
        <v>553</v>
      </c>
      <c r="C7" s="1633"/>
      <c r="D7" s="1633"/>
      <c r="E7" s="1633"/>
      <c r="F7" s="1633"/>
      <c r="G7" s="1633"/>
      <c r="H7" s="1633"/>
      <c r="I7" s="1633"/>
      <c r="J7" s="1633"/>
      <c r="K7" s="1633"/>
      <c r="L7" s="1633"/>
      <c r="M7" s="1633"/>
      <c r="N7" s="1633"/>
      <c r="O7" s="1633"/>
      <c r="P7" s="1633"/>
      <c r="Q7" s="1633"/>
      <c r="R7" s="1633"/>
      <c r="S7" s="1633"/>
      <c r="T7" s="1633"/>
      <c r="U7" s="1633"/>
      <c r="V7" s="1659"/>
      <c r="W7" s="620" t="s">
        <v>554</v>
      </c>
      <c r="X7" s="622">
        <f>Лист1!A1*20500</f>
        <v>22550.000000000004</v>
      </c>
      <c r="Y7" s="618"/>
    </row>
    <row r="8" spans="1:25" s="532" customFormat="1" ht="24.75" customHeight="1" thickBot="1">
      <c r="A8" s="827" t="s">
        <v>831</v>
      </c>
      <c r="B8" s="1638" t="s">
        <v>555</v>
      </c>
      <c r="C8" s="1633"/>
      <c r="D8" s="1633"/>
      <c r="E8" s="1633"/>
      <c r="F8" s="1633"/>
      <c r="G8" s="1633"/>
      <c r="H8" s="1633"/>
      <c r="I8" s="1633"/>
      <c r="J8" s="1633"/>
      <c r="K8" s="1633"/>
      <c r="L8" s="1633"/>
      <c r="M8" s="1633"/>
      <c r="N8" s="1633"/>
      <c r="O8" s="1633"/>
      <c r="P8" s="1633"/>
      <c r="Q8" s="1633"/>
      <c r="R8" s="1633"/>
      <c r="S8" s="1633"/>
      <c r="T8" s="1633"/>
      <c r="U8" s="1633"/>
      <c r="V8" s="1659"/>
      <c r="W8" s="620" t="s">
        <v>556</v>
      </c>
      <c r="X8" s="623">
        <f>Лист1!A1*16600</f>
        <v>18260</v>
      </c>
      <c r="Y8" s="618"/>
    </row>
    <row r="9" spans="1:25" s="532" customFormat="1" ht="13.5" customHeight="1" thickBot="1">
      <c r="A9" s="828" t="s">
        <v>557</v>
      </c>
      <c r="B9" s="1663" t="s">
        <v>558</v>
      </c>
      <c r="C9" s="1633"/>
      <c r="D9" s="1633"/>
      <c r="E9" s="1633"/>
      <c r="F9" s="1633"/>
      <c r="G9" s="1633"/>
      <c r="H9" s="1633"/>
      <c r="I9" s="1633"/>
      <c r="J9" s="1633"/>
      <c r="K9" s="1633"/>
      <c r="L9" s="1633"/>
      <c r="M9" s="1633"/>
      <c r="N9" s="1633"/>
      <c r="O9" s="1633"/>
      <c r="P9" s="1633"/>
      <c r="Q9" s="1633"/>
      <c r="R9" s="1633"/>
      <c r="S9" s="1633"/>
      <c r="T9" s="1633"/>
      <c r="U9" s="1633"/>
      <c r="V9" s="1659"/>
      <c r="W9" s="624" t="s">
        <v>554</v>
      </c>
      <c r="X9" s="625">
        <f>Лист1!A1*21700</f>
        <v>23870.000000000004</v>
      </c>
      <c r="Y9" s="618"/>
    </row>
    <row r="10" spans="1:25" s="532" customFormat="1" ht="24" customHeight="1" thickBot="1">
      <c r="A10" s="1629" t="s">
        <v>559</v>
      </c>
      <c r="B10" s="1630"/>
      <c r="C10" s="1630"/>
      <c r="D10" s="1630"/>
      <c r="E10" s="1630"/>
      <c r="F10" s="1630"/>
      <c r="G10" s="1630"/>
      <c r="H10" s="1630"/>
      <c r="I10" s="1630"/>
      <c r="J10" s="1630"/>
      <c r="K10" s="1630"/>
      <c r="L10" s="1630"/>
      <c r="M10" s="1630"/>
      <c r="N10" s="1630"/>
      <c r="O10" s="1630"/>
      <c r="P10" s="1630"/>
      <c r="Q10" s="1630"/>
      <c r="R10" s="1630"/>
      <c r="S10" s="1630"/>
      <c r="T10" s="1630"/>
      <c r="U10" s="1630"/>
      <c r="V10" s="1630"/>
      <c r="W10" s="1630"/>
      <c r="X10" s="627" t="s">
        <v>560</v>
      </c>
      <c r="Y10" s="618"/>
    </row>
    <row r="11" spans="1:25" s="532" customFormat="1" ht="15" customHeight="1" thickBot="1">
      <c r="A11" s="628"/>
      <c r="B11" s="626"/>
      <c r="C11" s="831">
        <v>0</v>
      </c>
      <c r="D11" s="1632" t="s">
        <v>561</v>
      </c>
      <c r="E11" s="1636"/>
      <c r="F11" s="1632"/>
      <c r="G11" s="1632"/>
      <c r="H11" s="1632"/>
      <c r="I11" s="1632"/>
      <c r="J11" s="1632"/>
      <c r="K11" s="1632"/>
      <c r="L11" s="1632"/>
      <c r="M11" s="1632"/>
      <c r="N11" s="1632"/>
      <c r="O11" s="1632"/>
      <c r="P11" s="1632"/>
      <c r="Q11" s="1632"/>
      <c r="R11" s="1632"/>
      <c r="S11" s="1632"/>
      <c r="T11" s="1632"/>
      <c r="U11" s="1632"/>
      <c r="V11" s="1632"/>
      <c r="W11" s="1637"/>
      <c r="X11" s="629" t="s">
        <v>36</v>
      </c>
      <c r="Y11" s="618"/>
    </row>
    <row r="12" spans="1:25" s="532" customFormat="1" ht="15.75" customHeight="1" thickBot="1">
      <c r="A12" s="628"/>
      <c r="B12" s="626"/>
      <c r="C12" s="827">
        <v>1</v>
      </c>
      <c r="D12" s="1638" t="s">
        <v>562</v>
      </c>
      <c r="E12" s="1639"/>
      <c r="F12" s="1639"/>
      <c r="G12" s="1639"/>
      <c r="H12" s="1639"/>
      <c r="I12" s="1639"/>
      <c r="J12" s="1639"/>
      <c r="K12" s="1639"/>
      <c r="L12" s="1639"/>
      <c r="M12" s="1639"/>
      <c r="N12" s="1639"/>
      <c r="O12" s="1639"/>
      <c r="P12" s="1639"/>
      <c r="Q12" s="1639"/>
      <c r="R12" s="1639"/>
      <c r="S12" s="1639"/>
      <c r="T12" s="1639"/>
      <c r="U12" s="1639"/>
      <c r="V12" s="1639"/>
      <c r="W12" s="1640"/>
      <c r="X12" s="630" t="s">
        <v>36</v>
      </c>
      <c r="Y12" s="618"/>
    </row>
    <row r="13" spans="1:25" s="532" customFormat="1" ht="13.5" customHeight="1" thickBot="1">
      <c r="A13" s="628"/>
      <c r="B13" s="626"/>
      <c r="C13" s="827">
        <v>2</v>
      </c>
      <c r="D13" s="1638" t="s">
        <v>563</v>
      </c>
      <c r="E13" s="1639"/>
      <c r="F13" s="1639"/>
      <c r="G13" s="1639"/>
      <c r="H13" s="1639"/>
      <c r="I13" s="1639"/>
      <c r="J13" s="1639"/>
      <c r="K13" s="1639"/>
      <c r="L13" s="1639"/>
      <c r="M13" s="1639"/>
      <c r="N13" s="1639"/>
      <c r="O13" s="1639"/>
      <c r="P13" s="1639"/>
      <c r="Q13" s="1639"/>
      <c r="R13" s="1639"/>
      <c r="S13" s="1639"/>
      <c r="T13" s="1639"/>
      <c r="U13" s="1639"/>
      <c r="V13" s="1639"/>
      <c r="W13" s="1640"/>
      <c r="X13" s="631" t="s">
        <v>36</v>
      </c>
      <c r="Y13" s="618"/>
    </row>
    <row r="14" spans="1:25" s="532" customFormat="1" ht="10.5" customHeight="1" thickBot="1">
      <c r="A14" s="1629" t="s">
        <v>564</v>
      </c>
      <c r="B14" s="1630"/>
      <c r="C14" s="1630"/>
      <c r="D14" s="1630"/>
      <c r="E14" s="1630"/>
      <c r="F14" s="1630"/>
      <c r="G14" s="1630"/>
      <c r="H14" s="1630"/>
      <c r="I14" s="1630"/>
      <c r="J14" s="1630"/>
      <c r="K14" s="1630"/>
      <c r="L14" s="1630"/>
      <c r="M14" s="1630"/>
      <c r="N14" s="1630"/>
      <c r="O14" s="1630"/>
      <c r="P14" s="1630"/>
      <c r="Q14" s="1630"/>
      <c r="R14" s="1630"/>
      <c r="S14" s="1630"/>
      <c r="T14" s="1630"/>
      <c r="U14" s="1630"/>
      <c r="V14" s="1630"/>
      <c r="W14" s="1631"/>
      <c r="X14" s="632"/>
      <c r="Y14" s="618"/>
    </row>
    <row r="15" spans="1:25" s="532" customFormat="1" ht="10.5" customHeight="1" thickBot="1">
      <c r="A15" s="628"/>
      <c r="B15" s="626"/>
      <c r="C15" s="626"/>
      <c r="D15" s="626"/>
      <c r="E15" s="827" t="s">
        <v>34</v>
      </c>
      <c r="F15" s="1648" t="s">
        <v>565</v>
      </c>
      <c r="G15" s="1636"/>
      <c r="H15" s="1636"/>
      <c r="I15" s="1636"/>
      <c r="J15" s="1636"/>
      <c r="K15" s="1636"/>
      <c r="L15" s="1636"/>
      <c r="M15" s="1636"/>
      <c r="N15" s="1636"/>
      <c r="O15" s="1636"/>
      <c r="P15" s="1636"/>
      <c r="Q15" s="1636"/>
      <c r="R15" s="1636"/>
      <c r="S15" s="1636"/>
      <c r="T15" s="1636"/>
      <c r="U15" s="1636"/>
      <c r="V15" s="1636"/>
      <c r="W15" s="1664"/>
      <c r="X15" s="633" t="s">
        <v>36</v>
      </c>
      <c r="Y15" s="618"/>
    </row>
    <row r="16" spans="1:25" s="532" customFormat="1" ht="10.5" customHeight="1" thickBot="1">
      <c r="A16" s="1629" t="s">
        <v>566</v>
      </c>
      <c r="B16" s="1630"/>
      <c r="C16" s="1630"/>
      <c r="D16" s="1630"/>
      <c r="E16" s="1630"/>
      <c r="F16" s="1630"/>
      <c r="G16" s="1630"/>
      <c r="H16" s="1630"/>
      <c r="I16" s="1630"/>
      <c r="J16" s="1630"/>
      <c r="K16" s="1630"/>
      <c r="L16" s="1630"/>
      <c r="M16" s="1630"/>
      <c r="N16" s="1630"/>
      <c r="O16" s="1630"/>
      <c r="P16" s="1630"/>
      <c r="Q16" s="1630"/>
      <c r="R16" s="1630"/>
      <c r="S16" s="1630"/>
      <c r="T16" s="1630"/>
      <c r="U16" s="1630"/>
      <c r="V16" s="1630"/>
      <c r="W16" s="1631"/>
      <c r="X16" s="632"/>
      <c r="Y16" s="618"/>
    </row>
    <row r="17" spans="1:25" s="532" customFormat="1" ht="10.5" customHeight="1" thickBot="1">
      <c r="A17" s="628"/>
      <c r="B17" s="626"/>
      <c r="C17" s="722"/>
      <c r="D17" s="722"/>
      <c r="E17" s="722"/>
      <c r="F17" s="722"/>
      <c r="G17" s="827">
        <v>0</v>
      </c>
      <c r="H17" s="1648" t="s">
        <v>567</v>
      </c>
      <c r="I17" s="1627"/>
      <c r="J17" s="1627"/>
      <c r="K17" s="1627"/>
      <c r="L17" s="1627"/>
      <c r="M17" s="1627"/>
      <c r="N17" s="1627"/>
      <c r="O17" s="1627"/>
      <c r="P17" s="1627"/>
      <c r="Q17" s="1627"/>
      <c r="R17" s="1627"/>
      <c r="S17" s="1627"/>
      <c r="T17" s="1627"/>
      <c r="U17" s="1627"/>
      <c r="V17" s="1627"/>
      <c r="W17" s="1628"/>
      <c r="X17" s="633" t="s">
        <v>36</v>
      </c>
      <c r="Y17" s="618"/>
    </row>
    <row r="18" spans="1:25" s="532" customFormat="1" ht="10.5" customHeight="1" thickBot="1">
      <c r="A18" s="1629" t="s">
        <v>568</v>
      </c>
      <c r="B18" s="1630"/>
      <c r="C18" s="1630"/>
      <c r="D18" s="1630"/>
      <c r="E18" s="1630"/>
      <c r="F18" s="1630"/>
      <c r="G18" s="1630"/>
      <c r="H18" s="1630"/>
      <c r="I18" s="1630"/>
      <c r="J18" s="1630"/>
      <c r="K18" s="1630"/>
      <c r="L18" s="1630"/>
      <c r="M18" s="1630"/>
      <c r="N18" s="1630"/>
      <c r="O18" s="1630"/>
      <c r="P18" s="1630"/>
      <c r="Q18" s="1630"/>
      <c r="R18" s="1630"/>
      <c r="S18" s="1630"/>
      <c r="T18" s="1630"/>
      <c r="U18" s="1630"/>
      <c r="V18" s="1630"/>
      <c r="W18" s="1631"/>
      <c r="X18" s="632"/>
      <c r="Y18" s="618"/>
    </row>
    <row r="19" spans="1:25" s="532" customFormat="1" ht="10.5" customHeight="1" thickBot="1">
      <c r="A19" s="721"/>
      <c r="B19" s="722"/>
      <c r="C19" s="722"/>
      <c r="D19" s="722"/>
      <c r="E19" s="722"/>
      <c r="F19" s="722"/>
      <c r="G19" s="722"/>
      <c r="H19" s="722"/>
      <c r="I19" s="827" t="s">
        <v>569</v>
      </c>
      <c r="J19" s="1648" t="s">
        <v>570</v>
      </c>
      <c r="K19" s="1627"/>
      <c r="L19" s="1627"/>
      <c r="M19" s="1627"/>
      <c r="N19" s="1627"/>
      <c r="O19" s="1627"/>
      <c r="P19" s="1627"/>
      <c r="Q19" s="1627"/>
      <c r="R19" s="1627"/>
      <c r="S19" s="1627"/>
      <c r="T19" s="1627"/>
      <c r="U19" s="1627"/>
      <c r="V19" s="1627"/>
      <c r="W19" s="1628"/>
      <c r="X19" s="633" t="s">
        <v>36</v>
      </c>
      <c r="Y19" s="618"/>
    </row>
    <row r="20" spans="1:25" s="532" customFormat="1" ht="10.5" customHeight="1" thickBot="1">
      <c r="A20" s="721"/>
      <c r="B20" s="722"/>
      <c r="C20" s="722"/>
      <c r="D20" s="722"/>
      <c r="E20" s="722"/>
      <c r="F20" s="722"/>
      <c r="G20" s="722"/>
      <c r="H20" s="722"/>
      <c r="I20" s="827" t="s">
        <v>571</v>
      </c>
      <c r="J20" s="1660" t="s">
        <v>572</v>
      </c>
      <c r="K20" s="1661"/>
      <c r="L20" s="1661"/>
      <c r="M20" s="1661"/>
      <c r="N20" s="1661"/>
      <c r="O20" s="1661"/>
      <c r="P20" s="1661"/>
      <c r="Q20" s="1661"/>
      <c r="R20" s="1661"/>
      <c r="S20" s="1661"/>
      <c r="T20" s="1661"/>
      <c r="U20" s="1661"/>
      <c r="V20" s="1661"/>
      <c r="W20" s="1662"/>
      <c r="X20" s="630" t="s">
        <v>36</v>
      </c>
      <c r="Y20" s="618"/>
    </row>
    <row r="21" spans="1:25" s="532" customFormat="1" ht="10.5" customHeight="1" thickBot="1">
      <c r="A21" s="723"/>
      <c r="B21" s="722"/>
      <c r="C21" s="722"/>
      <c r="D21" s="722"/>
      <c r="E21" s="722"/>
      <c r="F21" s="722"/>
      <c r="G21" s="722"/>
      <c r="H21" s="722"/>
      <c r="I21" s="831" t="s">
        <v>573</v>
      </c>
      <c r="J21" s="1626" t="s">
        <v>706</v>
      </c>
      <c r="K21" s="1627"/>
      <c r="L21" s="1627"/>
      <c r="M21" s="1627"/>
      <c r="N21" s="1627"/>
      <c r="O21" s="1627"/>
      <c r="P21" s="1627"/>
      <c r="Q21" s="1627"/>
      <c r="R21" s="1627"/>
      <c r="S21" s="1627"/>
      <c r="T21" s="1627"/>
      <c r="U21" s="1627"/>
      <c r="V21" s="1627"/>
      <c r="W21" s="1628"/>
      <c r="X21" s="634">
        <f>Лист1!A1*30680</f>
        <v>33748</v>
      </c>
      <c r="Y21" s="618"/>
    </row>
    <row r="22" spans="1:25" s="532" customFormat="1" ht="10.5" customHeight="1" thickBot="1">
      <c r="A22" s="723"/>
      <c r="B22" s="722"/>
      <c r="C22" s="722"/>
      <c r="D22" s="722"/>
      <c r="E22" s="722"/>
      <c r="F22" s="722"/>
      <c r="G22" s="722"/>
      <c r="H22" s="722"/>
      <c r="I22" s="831" t="s">
        <v>644</v>
      </c>
      <c r="J22" s="1649" t="s">
        <v>707</v>
      </c>
      <c r="K22" s="1650"/>
      <c r="L22" s="1650"/>
      <c r="M22" s="1650"/>
      <c r="N22" s="1650"/>
      <c r="O22" s="1650"/>
      <c r="P22" s="1650"/>
      <c r="Q22" s="1650"/>
      <c r="R22" s="1650"/>
      <c r="S22" s="1650"/>
      <c r="T22" s="1650"/>
      <c r="U22" s="1650"/>
      <c r="V22" s="1650"/>
      <c r="W22" s="1651"/>
      <c r="X22" s="634">
        <f>Лист1!A1*44600</f>
        <v>49060.00000000001</v>
      </c>
      <c r="Y22" s="618"/>
    </row>
    <row r="23" spans="1:25" s="532" customFormat="1" ht="10.5" customHeight="1" thickBot="1">
      <c r="A23" s="1629" t="s">
        <v>574</v>
      </c>
      <c r="B23" s="1630"/>
      <c r="C23" s="1630"/>
      <c r="D23" s="1630"/>
      <c r="E23" s="1630"/>
      <c r="F23" s="1630"/>
      <c r="G23" s="1630"/>
      <c r="H23" s="1630"/>
      <c r="I23" s="1630"/>
      <c r="J23" s="1630"/>
      <c r="K23" s="1630"/>
      <c r="L23" s="1630"/>
      <c r="M23" s="1630"/>
      <c r="N23" s="1630"/>
      <c r="O23" s="1630"/>
      <c r="P23" s="1630"/>
      <c r="Q23" s="1630"/>
      <c r="R23" s="1630"/>
      <c r="S23" s="1630"/>
      <c r="T23" s="1630"/>
      <c r="U23" s="1630"/>
      <c r="V23" s="1630"/>
      <c r="W23" s="1631"/>
      <c r="X23" s="632"/>
      <c r="Y23" s="618"/>
    </row>
    <row r="24" spans="1:25" s="532" customFormat="1" ht="13.5" customHeight="1" thickBot="1">
      <c r="A24" s="721"/>
      <c r="B24" s="722"/>
      <c r="C24" s="722"/>
      <c r="D24" s="722"/>
      <c r="E24" s="722"/>
      <c r="F24" s="722"/>
      <c r="G24" s="722"/>
      <c r="H24" s="722"/>
      <c r="I24" s="722"/>
      <c r="J24" s="722" t="s">
        <v>36</v>
      </c>
      <c r="K24" s="831" t="s">
        <v>575</v>
      </c>
      <c r="L24" s="1632" t="s">
        <v>623</v>
      </c>
      <c r="M24" s="1627"/>
      <c r="N24" s="1627"/>
      <c r="O24" s="1627"/>
      <c r="P24" s="1627"/>
      <c r="Q24" s="1627"/>
      <c r="R24" s="1627"/>
      <c r="S24" s="1627"/>
      <c r="T24" s="1627"/>
      <c r="U24" s="1627"/>
      <c r="V24" s="1627"/>
      <c r="W24" s="1628"/>
      <c r="X24" s="635">
        <f>Лист1!A1*3640</f>
        <v>4004.0000000000005</v>
      </c>
      <c r="Y24" s="618"/>
    </row>
    <row r="25" spans="1:25" s="532" customFormat="1" ht="14.25" customHeight="1" thickBot="1">
      <c r="A25" s="721"/>
      <c r="B25" s="722"/>
      <c r="C25" s="722"/>
      <c r="D25" s="722"/>
      <c r="E25" s="722"/>
      <c r="F25" s="722"/>
      <c r="G25" s="722"/>
      <c r="H25" s="722"/>
      <c r="I25" s="722"/>
      <c r="J25" s="722" t="s">
        <v>36</v>
      </c>
      <c r="K25" s="831" t="s">
        <v>576</v>
      </c>
      <c r="L25" s="1619" t="s">
        <v>577</v>
      </c>
      <c r="M25" s="1633"/>
      <c r="N25" s="1633"/>
      <c r="O25" s="1633"/>
      <c r="P25" s="1633"/>
      <c r="Q25" s="1633"/>
      <c r="R25" s="1633"/>
      <c r="S25" s="1633"/>
      <c r="T25" s="1633"/>
      <c r="U25" s="1633"/>
      <c r="V25" s="1633"/>
      <c r="W25" s="1634"/>
      <c r="X25" s="636">
        <f>Лист1!A1*1700</f>
        <v>1870.0000000000002</v>
      </c>
      <c r="Y25" s="618"/>
    </row>
    <row r="26" spans="1:25" s="532" customFormat="1" ht="14.25" customHeight="1" thickBot="1">
      <c r="A26" s="721"/>
      <c r="B26" s="722"/>
      <c r="C26" s="722"/>
      <c r="D26" s="722"/>
      <c r="E26" s="722"/>
      <c r="F26" s="722"/>
      <c r="G26" s="722"/>
      <c r="H26" s="722"/>
      <c r="I26" s="722"/>
      <c r="J26" s="722" t="s">
        <v>36</v>
      </c>
      <c r="K26" s="831" t="s">
        <v>32</v>
      </c>
      <c r="L26" s="1619" t="s">
        <v>686</v>
      </c>
      <c r="M26" s="1620"/>
      <c r="N26" s="1620"/>
      <c r="O26" s="1620"/>
      <c r="P26" s="1620"/>
      <c r="Q26" s="1620"/>
      <c r="R26" s="1620"/>
      <c r="S26" s="1620"/>
      <c r="T26" s="1620"/>
      <c r="U26" s="1620"/>
      <c r="V26" s="1620"/>
      <c r="W26" s="1641"/>
      <c r="X26" s="636">
        <f>Лист1!A1*9500</f>
        <v>10450</v>
      </c>
      <c r="Y26" s="618"/>
    </row>
    <row r="27" spans="1:25" s="532" customFormat="1" ht="12" customHeight="1" thickBot="1">
      <c r="A27" s="1629" t="s">
        <v>578</v>
      </c>
      <c r="B27" s="1630"/>
      <c r="C27" s="1630"/>
      <c r="D27" s="1630"/>
      <c r="E27" s="1630"/>
      <c r="F27" s="1630"/>
      <c r="G27" s="1630"/>
      <c r="H27" s="1630"/>
      <c r="I27" s="1630"/>
      <c r="J27" s="1630"/>
      <c r="K27" s="1630"/>
      <c r="L27" s="1630"/>
      <c r="M27" s="1630"/>
      <c r="N27" s="1630"/>
      <c r="O27" s="1630"/>
      <c r="P27" s="1630"/>
      <c r="Q27" s="1630"/>
      <c r="R27" s="1630"/>
      <c r="S27" s="1630"/>
      <c r="T27" s="1630"/>
      <c r="U27" s="1630"/>
      <c r="V27" s="1630"/>
      <c r="W27" s="1631"/>
      <c r="X27" s="637"/>
      <c r="Y27" s="618"/>
    </row>
    <row r="28" spans="1:25" s="532" customFormat="1" ht="26.25" customHeight="1" thickBot="1">
      <c r="A28" s="1635" t="s">
        <v>579</v>
      </c>
      <c r="B28" s="1630"/>
      <c r="C28" s="1630"/>
      <c r="D28" s="1630"/>
      <c r="E28" s="1630"/>
      <c r="F28" s="1630"/>
      <c r="G28" s="1630"/>
      <c r="H28" s="1630"/>
      <c r="I28" s="1630"/>
      <c r="J28" s="1630"/>
      <c r="K28" s="1630"/>
      <c r="L28" s="722"/>
      <c r="M28" s="843" t="s">
        <v>268</v>
      </c>
      <c r="N28" s="1620" t="s">
        <v>580</v>
      </c>
      <c r="O28" s="1633"/>
      <c r="P28" s="1633"/>
      <c r="Q28" s="1633"/>
      <c r="R28" s="1633"/>
      <c r="S28" s="1633"/>
      <c r="T28" s="1633"/>
      <c r="U28" s="1633"/>
      <c r="V28" s="1633"/>
      <c r="W28" s="1634"/>
      <c r="X28" s="625">
        <f>Лист1!A1*1040</f>
        <v>1144</v>
      </c>
      <c r="Y28" s="618"/>
    </row>
    <row r="29" spans="1:25" s="532" customFormat="1" ht="10.5" customHeight="1" thickBot="1">
      <c r="A29" s="830" t="s">
        <v>550</v>
      </c>
      <c r="B29" s="639"/>
      <c r="C29" s="830">
        <v>0</v>
      </c>
      <c r="D29" s="639"/>
      <c r="E29" s="830" t="s">
        <v>34</v>
      </c>
      <c r="F29" s="639"/>
      <c r="G29" s="830">
        <v>0</v>
      </c>
      <c r="H29" s="639"/>
      <c r="I29" s="830" t="s">
        <v>569</v>
      </c>
      <c r="J29" s="639" t="s">
        <v>36</v>
      </c>
      <c r="K29" s="830" t="s">
        <v>575</v>
      </c>
      <c r="L29" s="722"/>
      <c r="M29" s="831" t="s">
        <v>268</v>
      </c>
      <c r="N29" s="722"/>
      <c r="O29" s="722"/>
      <c r="P29" s="722"/>
      <c r="Q29" s="722"/>
      <c r="R29" s="722"/>
      <c r="S29" s="722"/>
      <c r="T29" s="722"/>
      <c r="U29" s="722"/>
      <c r="V29" s="722"/>
      <c r="W29" s="722"/>
      <c r="X29" s="640"/>
      <c r="Y29" s="618"/>
    </row>
    <row r="30" spans="1:25" s="532" customFormat="1" ht="0.75" customHeight="1" thickBot="1">
      <c r="A30" s="638" t="s">
        <v>581</v>
      </c>
      <c r="B30" s="639"/>
      <c r="C30" s="638">
        <v>0</v>
      </c>
      <c r="D30" s="639"/>
      <c r="E30" s="638" t="s">
        <v>34</v>
      </c>
      <c r="F30" s="639"/>
      <c r="G30" s="638">
        <v>0</v>
      </c>
      <c r="H30" s="639"/>
      <c r="I30" s="638" t="s">
        <v>569</v>
      </c>
      <c r="J30" s="639" t="s">
        <v>36</v>
      </c>
      <c r="K30" s="638" t="s">
        <v>575</v>
      </c>
      <c r="L30" s="722"/>
      <c r="M30" s="619" t="s">
        <v>268</v>
      </c>
      <c r="N30" s="722"/>
      <c r="O30" s="722"/>
      <c r="P30" s="722"/>
      <c r="Q30" s="722"/>
      <c r="R30" s="722"/>
      <c r="S30" s="722"/>
      <c r="T30" s="722"/>
      <c r="U30" s="722"/>
      <c r="V30" s="722"/>
      <c r="W30" s="722"/>
      <c r="X30" s="641"/>
      <c r="Y30" s="618"/>
    </row>
    <row r="31" spans="1:25" s="532" customFormat="1" ht="5.25" customHeight="1">
      <c r="A31" s="721"/>
      <c r="B31" s="722"/>
      <c r="C31" s="722"/>
      <c r="D31" s="722"/>
      <c r="E31" s="722"/>
      <c r="F31" s="722"/>
      <c r="G31" s="722"/>
      <c r="H31" s="722"/>
      <c r="I31" s="722"/>
      <c r="J31" s="722"/>
      <c r="K31" s="722"/>
      <c r="L31" s="722"/>
      <c r="M31" s="626"/>
      <c r="N31" s="722"/>
      <c r="O31" s="722"/>
      <c r="P31" s="722"/>
      <c r="Q31" s="722"/>
      <c r="R31" s="722"/>
      <c r="S31" s="722"/>
      <c r="T31" s="722"/>
      <c r="U31" s="722"/>
      <c r="V31" s="722"/>
      <c r="W31" s="722"/>
      <c r="X31" s="640"/>
      <c r="Y31" s="618"/>
    </row>
    <row r="32" spans="1:25" s="532" customFormat="1" ht="10.5" customHeight="1" thickBot="1">
      <c r="A32" s="829" t="s">
        <v>582</v>
      </c>
      <c r="B32" s="1611" t="s">
        <v>583</v>
      </c>
      <c r="C32" s="1611"/>
      <c r="D32" s="1611"/>
      <c r="E32" s="1611"/>
      <c r="F32" s="1611"/>
      <c r="G32" s="1611"/>
      <c r="H32" s="1611"/>
      <c r="I32" s="1611"/>
      <c r="J32" s="1611"/>
      <c r="K32" s="1611"/>
      <c r="L32" s="1611"/>
      <c r="M32" s="1611"/>
      <c r="N32" s="1611"/>
      <c r="O32" s="1611"/>
      <c r="P32" s="1611"/>
      <c r="Q32" s="1611"/>
      <c r="R32" s="1611"/>
      <c r="S32" s="1611"/>
      <c r="T32" s="1611"/>
      <c r="U32" s="1611"/>
      <c r="V32" s="1611"/>
      <c r="W32" s="1611"/>
      <c r="X32" s="642" t="s">
        <v>528</v>
      </c>
      <c r="Y32" s="643"/>
    </row>
    <row r="33" spans="1:25" s="532" customFormat="1" ht="10.5" customHeight="1" thickBot="1">
      <c r="A33" s="832">
        <v>1522001</v>
      </c>
      <c r="B33" s="1642" t="s">
        <v>584</v>
      </c>
      <c r="C33" s="1643"/>
      <c r="D33" s="1643"/>
      <c r="E33" s="1643"/>
      <c r="F33" s="1643"/>
      <c r="G33" s="1643"/>
      <c r="H33" s="1643"/>
      <c r="I33" s="1643"/>
      <c r="J33" s="1643"/>
      <c r="K33" s="1643"/>
      <c r="L33" s="1643"/>
      <c r="M33" s="1643"/>
      <c r="N33" s="1643"/>
      <c r="O33" s="1643"/>
      <c r="P33" s="1643"/>
      <c r="Q33" s="1643"/>
      <c r="R33" s="1643"/>
      <c r="S33" s="1643"/>
      <c r="T33" s="1643"/>
      <c r="U33" s="1643"/>
      <c r="V33" s="1643"/>
      <c r="W33" s="1643"/>
      <c r="X33" s="621">
        <f>Лист1!A1*1040</f>
        <v>1144</v>
      </c>
      <c r="Y33" s="643"/>
    </row>
    <row r="34" spans="1:25" s="532" customFormat="1" ht="10.5" customHeight="1" thickBot="1">
      <c r="A34" s="832">
        <v>1522002</v>
      </c>
      <c r="B34" s="1644" t="s">
        <v>585</v>
      </c>
      <c r="C34" s="1645"/>
      <c r="D34" s="1645"/>
      <c r="E34" s="1645"/>
      <c r="F34" s="1645"/>
      <c r="G34" s="1645"/>
      <c r="H34" s="1645"/>
      <c r="I34" s="1645"/>
      <c r="J34" s="1645"/>
      <c r="K34" s="1645"/>
      <c r="L34" s="1645"/>
      <c r="M34" s="1645"/>
      <c r="N34" s="1645"/>
      <c r="O34" s="1645"/>
      <c r="P34" s="1645"/>
      <c r="Q34" s="1645"/>
      <c r="R34" s="1645"/>
      <c r="S34" s="1645"/>
      <c r="T34" s="1645"/>
      <c r="U34" s="1645"/>
      <c r="V34" s="1645"/>
      <c r="W34" s="1645"/>
      <c r="X34" s="622">
        <f>Лист1!A1*1300</f>
        <v>1430.0000000000002</v>
      </c>
      <c r="Y34" s="643"/>
    </row>
    <row r="35" spans="1:25" s="532" customFormat="1" ht="10.5" customHeight="1" thickBot="1">
      <c r="A35" s="832">
        <v>1502015</v>
      </c>
      <c r="B35" s="1646" t="s">
        <v>586</v>
      </c>
      <c r="C35" s="1647"/>
      <c r="D35" s="1647"/>
      <c r="E35" s="1647"/>
      <c r="F35" s="1647"/>
      <c r="G35" s="1647"/>
      <c r="H35" s="1647"/>
      <c r="I35" s="1647"/>
      <c r="J35" s="1647"/>
      <c r="K35" s="1647"/>
      <c r="L35" s="1647"/>
      <c r="M35" s="1647"/>
      <c r="N35" s="1647"/>
      <c r="O35" s="1647"/>
      <c r="P35" s="1647"/>
      <c r="Q35" s="1647"/>
      <c r="R35" s="1647"/>
      <c r="S35" s="1647"/>
      <c r="T35" s="1647"/>
      <c r="U35" s="1647"/>
      <c r="V35" s="1647"/>
      <c r="W35" s="1647"/>
      <c r="X35" s="622">
        <f>Лист1!A1*3000</f>
        <v>3300.0000000000005</v>
      </c>
      <c r="Y35" s="643"/>
    </row>
    <row r="36" spans="1:25" s="532" customFormat="1" ht="10.5" customHeight="1" thickBot="1">
      <c r="A36" s="832">
        <v>1319020</v>
      </c>
      <c r="B36" s="1624" t="s">
        <v>587</v>
      </c>
      <c r="C36" s="1625"/>
      <c r="D36" s="1625"/>
      <c r="E36" s="1625"/>
      <c r="F36" s="1625"/>
      <c r="G36" s="1625"/>
      <c r="H36" s="1625"/>
      <c r="I36" s="1625"/>
      <c r="J36" s="1625"/>
      <c r="K36" s="1625"/>
      <c r="L36" s="1625"/>
      <c r="M36" s="1625"/>
      <c r="N36" s="1625"/>
      <c r="O36" s="1625"/>
      <c r="P36" s="1625"/>
      <c r="Q36" s="1625"/>
      <c r="R36" s="1625"/>
      <c r="S36" s="1625"/>
      <c r="T36" s="1625"/>
      <c r="U36" s="1625"/>
      <c r="V36" s="1625"/>
      <c r="W36" s="1625"/>
      <c r="X36" s="636">
        <f>Лист1!A1*100</f>
        <v>110.00000000000001</v>
      </c>
      <c r="Y36" s="643"/>
    </row>
    <row r="37" spans="1:25" s="532" customFormat="1" ht="14.25" customHeight="1" thickBot="1">
      <c r="A37" s="832">
        <v>1306061</v>
      </c>
      <c r="B37" s="1619" t="s">
        <v>836</v>
      </c>
      <c r="C37" s="1620"/>
      <c r="D37" s="1620"/>
      <c r="E37" s="1620"/>
      <c r="F37" s="1620"/>
      <c r="G37" s="1620"/>
      <c r="H37" s="1620"/>
      <c r="I37" s="1620"/>
      <c r="J37" s="1620"/>
      <c r="K37" s="1620"/>
      <c r="L37" s="1620"/>
      <c r="M37" s="1620"/>
      <c r="N37" s="1620"/>
      <c r="O37" s="1620"/>
      <c r="P37" s="1620"/>
      <c r="Q37" s="1620"/>
      <c r="R37" s="1620"/>
      <c r="S37" s="1620"/>
      <c r="T37" s="1620"/>
      <c r="U37" s="1620"/>
      <c r="V37" s="1620"/>
      <c r="W37" s="1620"/>
      <c r="X37" s="726">
        <f>Лист1!A1*1040</f>
        <v>1144</v>
      </c>
      <c r="Y37" s="643"/>
    </row>
    <row r="38" spans="1:25" s="532" customFormat="1" ht="14.25" customHeight="1">
      <c r="A38" s="829">
        <v>1334002</v>
      </c>
      <c r="B38" s="1644" t="s">
        <v>668</v>
      </c>
      <c r="C38" s="1652"/>
      <c r="D38" s="1652"/>
      <c r="E38" s="1652"/>
      <c r="F38" s="1652"/>
      <c r="G38" s="1652"/>
      <c r="H38" s="1652"/>
      <c r="I38" s="1652"/>
      <c r="J38" s="1652"/>
      <c r="K38" s="1652"/>
      <c r="L38" s="1652"/>
      <c r="M38" s="1652"/>
      <c r="N38" s="1652"/>
      <c r="O38" s="1652"/>
      <c r="P38" s="1652"/>
      <c r="Q38" s="1652"/>
      <c r="R38" s="1652"/>
      <c r="S38" s="1652"/>
      <c r="T38" s="1652"/>
      <c r="U38" s="1652"/>
      <c r="V38" s="1652"/>
      <c r="W38" s="1652"/>
      <c r="X38" s="728">
        <f>Лист1!A1*1700</f>
        <v>1870.0000000000002</v>
      </c>
      <c r="Y38" s="643"/>
    </row>
    <row r="39" spans="1:25" s="532" customFormat="1" ht="13.5" customHeight="1" thickBot="1">
      <c r="A39" s="829" t="s">
        <v>582</v>
      </c>
      <c r="B39" s="1611" t="s">
        <v>588</v>
      </c>
      <c r="C39" s="1611"/>
      <c r="D39" s="1611"/>
      <c r="E39" s="1611"/>
      <c r="F39" s="1611"/>
      <c r="G39" s="1611"/>
      <c r="H39" s="1611"/>
      <c r="I39" s="1611"/>
      <c r="J39" s="1611"/>
      <c r="K39" s="1611"/>
      <c r="L39" s="1611"/>
      <c r="M39" s="1611"/>
      <c r="N39" s="1611"/>
      <c r="O39" s="1611"/>
      <c r="P39" s="1611"/>
      <c r="Q39" s="1611"/>
      <c r="R39" s="1611"/>
      <c r="S39" s="1611"/>
      <c r="T39" s="1611"/>
      <c r="U39" s="1611"/>
      <c r="V39" s="1611"/>
      <c r="W39" s="1611"/>
      <c r="X39" s="642" t="s">
        <v>528</v>
      </c>
      <c r="Y39" s="643"/>
    </row>
    <row r="40" spans="1:25" s="532" customFormat="1" ht="10.5" customHeight="1" thickBot="1">
      <c r="A40" s="831">
        <v>1402015</v>
      </c>
      <c r="B40" s="1621" t="s">
        <v>589</v>
      </c>
      <c r="C40" s="1622"/>
      <c r="D40" s="1622"/>
      <c r="E40" s="1622"/>
      <c r="F40" s="1622"/>
      <c r="G40" s="1622"/>
      <c r="H40" s="1622"/>
      <c r="I40" s="1622"/>
      <c r="J40" s="1622"/>
      <c r="K40" s="1622"/>
      <c r="L40" s="1622"/>
      <c r="M40" s="1622"/>
      <c r="N40" s="1622"/>
      <c r="O40" s="1622"/>
      <c r="P40" s="1622"/>
      <c r="Q40" s="1622"/>
      <c r="R40" s="1622"/>
      <c r="S40" s="1622"/>
      <c r="T40" s="1622"/>
      <c r="U40" s="1622"/>
      <c r="V40" s="1622"/>
      <c r="W40" s="1623"/>
      <c r="X40" s="621">
        <f>Лист1!A1*1040</f>
        <v>1144</v>
      </c>
      <c r="Y40" s="643"/>
    </row>
    <row r="41" spans="1:25" s="532" customFormat="1" ht="10.5" customHeight="1" thickBot="1">
      <c r="A41" s="831">
        <v>1402021</v>
      </c>
      <c r="B41" s="1596" t="s">
        <v>590</v>
      </c>
      <c r="C41" s="1597"/>
      <c r="D41" s="1597"/>
      <c r="E41" s="1597"/>
      <c r="F41" s="1597"/>
      <c r="G41" s="1597"/>
      <c r="H41" s="1597"/>
      <c r="I41" s="1597"/>
      <c r="J41" s="1597"/>
      <c r="K41" s="1597"/>
      <c r="L41" s="1597"/>
      <c r="M41" s="1597"/>
      <c r="N41" s="1597"/>
      <c r="O41" s="1597"/>
      <c r="P41" s="1597"/>
      <c r="Q41" s="1597"/>
      <c r="R41" s="1597"/>
      <c r="S41" s="1597"/>
      <c r="T41" s="1597"/>
      <c r="U41" s="1597"/>
      <c r="V41" s="1597"/>
      <c r="W41" s="1598"/>
      <c r="X41" s="622">
        <f>Лист1!A1*520</f>
        <v>572</v>
      </c>
      <c r="Y41" s="643"/>
    </row>
    <row r="42" spans="1:25" s="532" customFormat="1" ht="10.5" customHeight="1" thickBot="1">
      <c r="A42" s="831">
        <v>1406014</v>
      </c>
      <c r="B42" s="1596" t="s">
        <v>591</v>
      </c>
      <c r="C42" s="1597"/>
      <c r="D42" s="1597"/>
      <c r="E42" s="1597"/>
      <c r="F42" s="1597"/>
      <c r="G42" s="1597"/>
      <c r="H42" s="1597"/>
      <c r="I42" s="1597"/>
      <c r="J42" s="1597"/>
      <c r="K42" s="1597"/>
      <c r="L42" s="1597"/>
      <c r="M42" s="1597"/>
      <c r="N42" s="1597"/>
      <c r="O42" s="1597"/>
      <c r="P42" s="1597"/>
      <c r="Q42" s="1597"/>
      <c r="R42" s="1597"/>
      <c r="S42" s="1597"/>
      <c r="T42" s="1597"/>
      <c r="U42" s="1597"/>
      <c r="V42" s="1597"/>
      <c r="W42" s="1598"/>
      <c r="X42" s="622">
        <f>Лист1!A1*520</f>
        <v>572</v>
      </c>
      <c r="Y42" s="643"/>
    </row>
    <row r="43" spans="1:25" s="532" customFormat="1" ht="10.5" customHeight="1" thickBot="1">
      <c r="A43" s="831">
        <v>1406016</v>
      </c>
      <c r="B43" s="1596" t="s">
        <v>592</v>
      </c>
      <c r="C43" s="1597"/>
      <c r="D43" s="1597"/>
      <c r="E43" s="1597"/>
      <c r="F43" s="1597"/>
      <c r="G43" s="1597"/>
      <c r="H43" s="1597"/>
      <c r="I43" s="1597"/>
      <c r="J43" s="1597"/>
      <c r="K43" s="1597"/>
      <c r="L43" s="1597"/>
      <c r="M43" s="1597"/>
      <c r="N43" s="1597"/>
      <c r="O43" s="1597"/>
      <c r="P43" s="1597"/>
      <c r="Q43" s="1597"/>
      <c r="R43" s="1597"/>
      <c r="S43" s="1597"/>
      <c r="T43" s="1597"/>
      <c r="U43" s="1597"/>
      <c r="V43" s="1597"/>
      <c r="W43" s="1598"/>
      <c r="X43" s="622">
        <f>Лист1!A1*1040</f>
        <v>1144</v>
      </c>
      <c r="Y43" s="643"/>
    </row>
    <row r="44" spans="1:25" s="532" customFormat="1" ht="10.5" customHeight="1" thickBot="1">
      <c r="A44" s="831">
        <v>130803108</v>
      </c>
      <c r="B44" s="1593" t="s">
        <v>593</v>
      </c>
      <c r="C44" s="1594"/>
      <c r="D44" s="1594"/>
      <c r="E44" s="1594"/>
      <c r="F44" s="1594"/>
      <c r="G44" s="1594"/>
      <c r="H44" s="1594"/>
      <c r="I44" s="1594"/>
      <c r="J44" s="1594"/>
      <c r="K44" s="1594"/>
      <c r="L44" s="1594"/>
      <c r="M44" s="1594"/>
      <c r="N44" s="1594"/>
      <c r="O44" s="1594"/>
      <c r="P44" s="1594"/>
      <c r="Q44" s="1594"/>
      <c r="R44" s="1594"/>
      <c r="S44" s="1594"/>
      <c r="T44" s="1594"/>
      <c r="U44" s="1594"/>
      <c r="V44" s="1594"/>
      <c r="W44" s="1595"/>
      <c r="X44" s="622">
        <f>Лист1!A1*130</f>
        <v>143</v>
      </c>
      <c r="Y44" s="643"/>
    </row>
    <row r="45" spans="1:25" s="532" customFormat="1" ht="10.5" customHeight="1" thickBot="1">
      <c r="A45" s="831">
        <v>13030061</v>
      </c>
      <c r="B45" s="1593" t="s">
        <v>594</v>
      </c>
      <c r="C45" s="1594"/>
      <c r="D45" s="1594"/>
      <c r="E45" s="1594"/>
      <c r="F45" s="1594"/>
      <c r="G45" s="1594"/>
      <c r="H45" s="1594"/>
      <c r="I45" s="1594"/>
      <c r="J45" s="1594"/>
      <c r="K45" s="1594"/>
      <c r="L45" s="1594"/>
      <c r="M45" s="1594"/>
      <c r="N45" s="1594"/>
      <c r="O45" s="1594"/>
      <c r="P45" s="1594"/>
      <c r="Q45" s="1594"/>
      <c r="R45" s="1594"/>
      <c r="S45" s="1594"/>
      <c r="T45" s="1594"/>
      <c r="U45" s="1594"/>
      <c r="V45" s="1594"/>
      <c r="W45" s="1595"/>
      <c r="X45" s="622">
        <f>Лист1!A1*130</f>
        <v>143</v>
      </c>
      <c r="Y45" s="643"/>
    </row>
    <row r="46" spans="1:25" s="532" customFormat="1" ht="10.5" customHeight="1" thickBot="1">
      <c r="A46" s="831">
        <v>13030411</v>
      </c>
      <c r="B46" s="1593" t="s">
        <v>595</v>
      </c>
      <c r="C46" s="1594"/>
      <c r="D46" s="1594"/>
      <c r="E46" s="1594"/>
      <c r="F46" s="1594"/>
      <c r="G46" s="1594"/>
      <c r="H46" s="1594"/>
      <c r="I46" s="1594"/>
      <c r="J46" s="1594"/>
      <c r="K46" s="1594"/>
      <c r="L46" s="1594"/>
      <c r="M46" s="1594"/>
      <c r="N46" s="1594"/>
      <c r="O46" s="1594"/>
      <c r="P46" s="1594"/>
      <c r="Q46" s="1594"/>
      <c r="R46" s="1594"/>
      <c r="S46" s="1594"/>
      <c r="T46" s="1594"/>
      <c r="U46" s="1594"/>
      <c r="V46" s="1594"/>
      <c r="W46" s="1595"/>
      <c r="X46" s="622">
        <f>Лист1!A1*130</f>
        <v>143</v>
      </c>
      <c r="Y46" s="643"/>
    </row>
    <row r="47" spans="1:25" s="532" customFormat="1" ht="10.5" customHeight="1" thickBot="1">
      <c r="A47" s="831">
        <v>1312007</v>
      </c>
      <c r="B47" s="1593" t="s">
        <v>596</v>
      </c>
      <c r="C47" s="1594"/>
      <c r="D47" s="1594"/>
      <c r="E47" s="1594"/>
      <c r="F47" s="1594"/>
      <c r="G47" s="1594"/>
      <c r="H47" s="1594"/>
      <c r="I47" s="1594"/>
      <c r="J47" s="1594"/>
      <c r="K47" s="1594"/>
      <c r="L47" s="1594"/>
      <c r="M47" s="1594"/>
      <c r="N47" s="1594"/>
      <c r="O47" s="1594"/>
      <c r="P47" s="1594"/>
      <c r="Q47" s="1594"/>
      <c r="R47" s="1594"/>
      <c r="S47" s="1594"/>
      <c r="T47" s="1594"/>
      <c r="U47" s="1594"/>
      <c r="V47" s="1594"/>
      <c r="W47" s="1595"/>
      <c r="X47" s="622">
        <f>Лист1!A1*560</f>
        <v>616</v>
      </c>
      <c r="Y47" s="643"/>
    </row>
    <row r="48" spans="1:25" s="532" customFormat="1" ht="10.5" customHeight="1" thickBot="1">
      <c r="A48" s="831">
        <v>1412028</v>
      </c>
      <c r="B48" s="644" t="s">
        <v>597</v>
      </c>
      <c r="C48" s="645"/>
      <c r="D48" s="645"/>
      <c r="E48" s="645"/>
      <c r="F48" s="645"/>
      <c r="G48" s="645"/>
      <c r="H48" s="645"/>
      <c r="I48" s="645"/>
      <c r="J48" s="645"/>
      <c r="K48" s="645"/>
      <c r="L48" s="645"/>
      <c r="M48" s="645"/>
      <c r="N48" s="645"/>
      <c r="O48" s="645"/>
      <c r="P48" s="645"/>
      <c r="Q48" s="645"/>
      <c r="R48" s="645"/>
      <c r="S48" s="645"/>
      <c r="T48" s="645"/>
      <c r="U48" s="645"/>
      <c r="V48" s="645"/>
      <c r="W48" s="646"/>
      <c r="X48" s="622">
        <f>Лист1!A1*1560</f>
        <v>1716.0000000000002</v>
      </c>
      <c r="Y48" s="643"/>
    </row>
    <row r="49" spans="1:25" s="532" customFormat="1" ht="10.5" customHeight="1" thickBot="1">
      <c r="A49" s="831">
        <v>130803104</v>
      </c>
      <c r="B49" s="1593" t="s">
        <v>598</v>
      </c>
      <c r="C49" s="1594"/>
      <c r="D49" s="1594"/>
      <c r="E49" s="1594"/>
      <c r="F49" s="1594"/>
      <c r="G49" s="1594"/>
      <c r="H49" s="1594"/>
      <c r="I49" s="1594"/>
      <c r="J49" s="1594"/>
      <c r="K49" s="1594"/>
      <c r="L49" s="1594"/>
      <c r="M49" s="1594"/>
      <c r="N49" s="1594"/>
      <c r="O49" s="1594"/>
      <c r="P49" s="1594"/>
      <c r="Q49" s="1594"/>
      <c r="R49" s="1594"/>
      <c r="S49" s="1594"/>
      <c r="T49" s="1594"/>
      <c r="U49" s="1594"/>
      <c r="V49" s="1594"/>
      <c r="W49" s="1595"/>
      <c r="X49" s="622">
        <f>Лист1!A1*560</f>
        <v>616</v>
      </c>
      <c r="Y49" s="643"/>
    </row>
    <row r="50" spans="1:25" s="532" customFormat="1" ht="14.25" customHeight="1" thickBot="1">
      <c r="A50" s="831">
        <v>1512011</v>
      </c>
      <c r="B50" s="1616" t="s">
        <v>599</v>
      </c>
      <c r="C50" s="1617"/>
      <c r="D50" s="1617"/>
      <c r="E50" s="1617"/>
      <c r="F50" s="1617"/>
      <c r="G50" s="1617"/>
      <c r="H50" s="1617"/>
      <c r="I50" s="1617"/>
      <c r="J50" s="1617"/>
      <c r="K50" s="1617"/>
      <c r="L50" s="1617"/>
      <c r="M50" s="1617"/>
      <c r="N50" s="1617"/>
      <c r="O50" s="1617"/>
      <c r="P50" s="1617"/>
      <c r="Q50" s="1617"/>
      <c r="R50" s="1617"/>
      <c r="S50" s="1617"/>
      <c r="T50" s="1617"/>
      <c r="U50" s="1617"/>
      <c r="V50" s="1617"/>
      <c r="W50" s="1618"/>
      <c r="X50" s="625">
        <f>Лист1!A1*7000</f>
        <v>7700.000000000001</v>
      </c>
      <c r="Y50" s="643"/>
    </row>
    <row r="51" spans="1:25" s="532" customFormat="1" ht="12" customHeight="1" thickBot="1">
      <c r="A51" s="829" t="s">
        <v>582</v>
      </c>
      <c r="B51" s="1615" t="s">
        <v>600</v>
      </c>
      <c r="C51" s="1615"/>
      <c r="D51" s="1615"/>
      <c r="E51" s="1615"/>
      <c r="F51" s="1615"/>
      <c r="G51" s="1615"/>
      <c r="H51" s="1615"/>
      <c r="I51" s="1615"/>
      <c r="J51" s="1615"/>
      <c r="K51" s="1615"/>
      <c r="L51" s="1615"/>
      <c r="M51" s="1615"/>
      <c r="N51" s="1615"/>
      <c r="O51" s="1615"/>
      <c r="P51" s="1615"/>
      <c r="Q51" s="1615"/>
      <c r="R51" s="1615"/>
      <c r="S51" s="1615"/>
      <c r="T51" s="1615"/>
      <c r="U51" s="1615"/>
      <c r="V51" s="1615"/>
      <c r="W51" s="1615"/>
      <c r="X51" s="642" t="s">
        <v>528</v>
      </c>
      <c r="Y51" s="643"/>
    </row>
    <row r="52" spans="1:25" s="532" customFormat="1" ht="10.5" customHeight="1" thickBot="1">
      <c r="A52" s="831">
        <v>1402001</v>
      </c>
      <c r="B52" s="1596" t="s">
        <v>601</v>
      </c>
      <c r="C52" s="1597"/>
      <c r="D52" s="1597"/>
      <c r="E52" s="1597"/>
      <c r="F52" s="1597"/>
      <c r="G52" s="1597"/>
      <c r="H52" s="1597"/>
      <c r="I52" s="1597"/>
      <c r="J52" s="1597"/>
      <c r="K52" s="1597"/>
      <c r="L52" s="1597"/>
      <c r="M52" s="1597"/>
      <c r="N52" s="1597"/>
      <c r="O52" s="1597"/>
      <c r="P52" s="1597"/>
      <c r="Q52" s="1597"/>
      <c r="R52" s="1597"/>
      <c r="S52" s="1597"/>
      <c r="T52" s="1597"/>
      <c r="U52" s="1597"/>
      <c r="V52" s="1597"/>
      <c r="W52" s="1598"/>
      <c r="X52" s="621">
        <f>Лист1!A1*1170</f>
        <v>1287</v>
      </c>
      <c r="Y52" s="643"/>
    </row>
    <row r="53" spans="1:25" s="532" customFormat="1" ht="10.5" customHeight="1" thickBot="1">
      <c r="A53" s="831">
        <v>1402002</v>
      </c>
      <c r="B53" s="1605" t="s">
        <v>602</v>
      </c>
      <c r="C53" s="1606"/>
      <c r="D53" s="1606"/>
      <c r="E53" s="1606"/>
      <c r="F53" s="1606"/>
      <c r="G53" s="1606"/>
      <c r="H53" s="1606"/>
      <c r="I53" s="1606"/>
      <c r="J53" s="1606"/>
      <c r="K53" s="1606"/>
      <c r="L53" s="1606"/>
      <c r="M53" s="1606"/>
      <c r="N53" s="1606"/>
      <c r="O53" s="1606"/>
      <c r="P53" s="1606"/>
      <c r="Q53" s="1606"/>
      <c r="R53" s="1606"/>
      <c r="S53" s="1606"/>
      <c r="T53" s="1606"/>
      <c r="U53" s="1606"/>
      <c r="V53" s="1606"/>
      <c r="W53" s="1607"/>
      <c r="X53" s="622">
        <f>Лист1!A1*1170</f>
        <v>1287</v>
      </c>
      <c r="Y53" s="643"/>
    </row>
    <row r="54" spans="1:25" s="532" customFormat="1" ht="10.5" customHeight="1" thickBot="1">
      <c r="A54" s="831">
        <v>1402019</v>
      </c>
      <c r="B54" s="1602" t="s">
        <v>603</v>
      </c>
      <c r="C54" s="1603"/>
      <c r="D54" s="1603"/>
      <c r="E54" s="1603"/>
      <c r="F54" s="1603"/>
      <c r="G54" s="1603"/>
      <c r="H54" s="1603"/>
      <c r="I54" s="1603"/>
      <c r="J54" s="1603"/>
      <c r="K54" s="1603"/>
      <c r="L54" s="1603"/>
      <c r="M54" s="1603"/>
      <c r="N54" s="1603"/>
      <c r="O54" s="1603"/>
      <c r="P54" s="1603"/>
      <c r="Q54" s="1603"/>
      <c r="R54" s="1603"/>
      <c r="S54" s="1603"/>
      <c r="T54" s="1603"/>
      <c r="U54" s="1603"/>
      <c r="V54" s="1603"/>
      <c r="W54" s="1604"/>
      <c r="X54" s="622">
        <f>Лист1!A1*780</f>
        <v>858.0000000000001</v>
      </c>
      <c r="Y54" s="643"/>
    </row>
    <row r="55" spans="1:25" s="532" customFormat="1" ht="10.5" customHeight="1" thickBot="1">
      <c r="A55" s="831">
        <v>1402020</v>
      </c>
      <c r="B55" s="1602" t="s">
        <v>604</v>
      </c>
      <c r="C55" s="1603"/>
      <c r="D55" s="1603"/>
      <c r="E55" s="1603"/>
      <c r="F55" s="1603"/>
      <c r="G55" s="1603"/>
      <c r="H55" s="1603"/>
      <c r="I55" s="1603"/>
      <c r="J55" s="1603"/>
      <c r="K55" s="1603"/>
      <c r="L55" s="1603"/>
      <c r="M55" s="1603"/>
      <c r="N55" s="1603"/>
      <c r="O55" s="1603"/>
      <c r="P55" s="1603"/>
      <c r="Q55" s="1603"/>
      <c r="R55" s="1603"/>
      <c r="S55" s="1603"/>
      <c r="T55" s="1603"/>
      <c r="U55" s="1603"/>
      <c r="V55" s="1603"/>
      <c r="W55" s="1604"/>
      <c r="X55" s="622">
        <f>Лист1!A1*780</f>
        <v>858.0000000000001</v>
      </c>
      <c r="Y55" s="643"/>
    </row>
    <row r="56" spans="1:25" s="532" customFormat="1" ht="10.5" customHeight="1" thickBot="1">
      <c r="A56" s="831">
        <v>1406011</v>
      </c>
      <c r="B56" s="1602" t="s">
        <v>605</v>
      </c>
      <c r="C56" s="1603"/>
      <c r="D56" s="1603"/>
      <c r="E56" s="1603"/>
      <c r="F56" s="1603"/>
      <c r="G56" s="1603"/>
      <c r="H56" s="1603"/>
      <c r="I56" s="1603"/>
      <c r="J56" s="1603"/>
      <c r="K56" s="1603"/>
      <c r="L56" s="1603"/>
      <c r="M56" s="1603"/>
      <c r="N56" s="1603"/>
      <c r="O56" s="1603"/>
      <c r="P56" s="1603"/>
      <c r="Q56" s="1603"/>
      <c r="R56" s="1603"/>
      <c r="S56" s="1603"/>
      <c r="T56" s="1603"/>
      <c r="U56" s="1603"/>
      <c r="V56" s="1603"/>
      <c r="W56" s="1604"/>
      <c r="X56" s="622">
        <v>520</v>
      </c>
      <c r="Y56" s="643"/>
    </row>
    <row r="57" spans="1:25" s="532" customFormat="1" ht="10.5" customHeight="1" thickBot="1">
      <c r="A57" s="831">
        <v>1406015</v>
      </c>
      <c r="B57" s="1602" t="s">
        <v>606</v>
      </c>
      <c r="C57" s="1603"/>
      <c r="D57" s="1603"/>
      <c r="E57" s="1603"/>
      <c r="F57" s="1603"/>
      <c r="G57" s="1603"/>
      <c r="H57" s="1603"/>
      <c r="I57" s="1603"/>
      <c r="J57" s="1603"/>
      <c r="K57" s="1603"/>
      <c r="L57" s="1603"/>
      <c r="M57" s="1603"/>
      <c r="N57" s="1603"/>
      <c r="O57" s="1603"/>
      <c r="P57" s="1603"/>
      <c r="Q57" s="1603"/>
      <c r="R57" s="1603"/>
      <c r="S57" s="1603"/>
      <c r="T57" s="1603"/>
      <c r="U57" s="1603"/>
      <c r="V57" s="1603"/>
      <c r="W57" s="1604"/>
      <c r="X57" s="622">
        <f>Лист1!A1*1200</f>
        <v>1320</v>
      </c>
      <c r="Y57" s="643"/>
    </row>
    <row r="58" spans="1:25" s="532" customFormat="1" ht="10.5" customHeight="1" thickBot="1">
      <c r="A58" s="831">
        <v>130804119</v>
      </c>
      <c r="B58" s="1602" t="s">
        <v>607</v>
      </c>
      <c r="C58" s="1603"/>
      <c r="D58" s="1603"/>
      <c r="E58" s="1603"/>
      <c r="F58" s="1603"/>
      <c r="G58" s="1603"/>
      <c r="H58" s="1603"/>
      <c r="I58" s="1603"/>
      <c r="J58" s="1603"/>
      <c r="K58" s="1603"/>
      <c r="L58" s="1603"/>
      <c r="M58" s="1603"/>
      <c r="N58" s="1603"/>
      <c r="O58" s="1603"/>
      <c r="P58" s="1603"/>
      <c r="Q58" s="1603"/>
      <c r="R58" s="1603"/>
      <c r="S58" s="1603"/>
      <c r="T58" s="1603"/>
      <c r="U58" s="1603"/>
      <c r="V58" s="1603"/>
      <c r="W58" s="1604"/>
      <c r="X58" s="622">
        <f>Лист1!A1*260</f>
        <v>286</v>
      </c>
      <c r="Y58" s="643"/>
    </row>
    <row r="59" spans="1:25" s="532" customFormat="1" ht="10.5" customHeight="1" thickBot="1">
      <c r="A59" s="831">
        <v>13030061</v>
      </c>
      <c r="B59" s="1602" t="s">
        <v>608</v>
      </c>
      <c r="C59" s="1603"/>
      <c r="D59" s="1603"/>
      <c r="E59" s="1603"/>
      <c r="F59" s="1603"/>
      <c r="G59" s="1603"/>
      <c r="H59" s="1603"/>
      <c r="I59" s="1603"/>
      <c r="J59" s="1603"/>
      <c r="K59" s="1603"/>
      <c r="L59" s="1603"/>
      <c r="M59" s="1603"/>
      <c r="N59" s="1603"/>
      <c r="O59" s="1603"/>
      <c r="P59" s="1603"/>
      <c r="Q59" s="1603"/>
      <c r="R59" s="1603"/>
      <c r="S59" s="1603"/>
      <c r="T59" s="1603"/>
      <c r="U59" s="1603"/>
      <c r="V59" s="1603"/>
      <c r="W59" s="1604"/>
      <c r="X59" s="622">
        <f>Лист1!A1*130</f>
        <v>143</v>
      </c>
      <c r="Y59" s="643"/>
    </row>
    <row r="60" spans="1:25" s="532" customFormat="1" ht="10.5" customHeight="1" thickBot="1">
      <c r="A60" s="831">
        <v>13030461</v>
      </c>
      <c r="B60" s="1602" t="s">
        <v>609</v>
      </c>
      <c r="C60" s="1603"/>
      <c r="D60" s="1603"/>
      <c r="E60" s="1603"/>
      <c r="F60" s="1603"/>
      <c r="G60" s="1603"/>
      <c r="H60" s="1603"/>
      <c r="I60" s="1603"/>
      <c r="J60" s="1603"/>
      <c r="K60" s="1603"/>
      <c r="L60" s="1603"/>
      <c r="M60" s="1603"/>
      <c r="N60" s="1603"/>
      <c r="O60" s="1603"/>
      <c r="P60" s="1603"/>
      <c r="Q60" s="1603"/>
      <c r="R60" s="1603"/>
      <c r="S60" s="1603"/>
      <c r="T60" s="1603"/>
      <c r="U60" s="1603"/>
      <c r="V60" s="1603"/>
      <c r="W60" s="1604"/>
      <c r="X60" s="622">
        <f>Лист1!A1*130</f>
        <v>143</v>
      </c>
      <c r="Y60" s="643"/>
    </row>
    <row r="61" spans="1:25" s="532" customFormat="1" ht="10.5" customHeight="1" thickBot="1">
      <c r="A61" s="831">
        <v>1312007</v>
      </c>
      <c r="B61" s="1605" t="s">
        <v>610</v>
      </c>
      <c r="C61" s="1606"/>
      <c r="D61" s="1606"/>
      <c r="E61" s="1606"/>
      <c r="F61" s="1606"/>
      <c r="G61" s="1606"/>
      <c r="H61" s="1606"/>
      <c r="I61" s="1606"/>
      <c r="J61" s="1606"/>
      <c r="K61" s="1606"/>
      <c r="L61" s="1606"/>
      <c r="M61" s="1606"/>
      <c r="N61" s="1606"/>
      <c r="O61" s="1606"/>
      <c r="P61" s="1606"/>
      <c r="Q61" s="1606"/>
      <c r="R61" s="1606"/>
      <c r="S61" s="1606"/>
      <c r="T61" s="1606"/>
      <c r="U61" s="1606"/>
      <c r="V61" s="1606"/>
      <c r="W61" s="1607"/>
      <c r="X61" s="622">
        <f>Лист1!A1*560</f>
        <v>616</v>
      </c>
      <c r="Y61" s="643"/>
    </row>
    <row r="62" spans="1:25" s="532" customFormat="1" ht="10.5" customHeight="1" thickBot="1">
      <c r="A62" s="831">
        <v>1412028</v>
      </c>
      <c r="B62" s="1612" t="s">
        <v>597</v>
      </c>
      <c r="C62" s="1613"/>
      <c r="D62" s="1613"/>
      <c r="E62" s="1613"/>
      <c r="F62" s="1613"/>
      <c r="G62" s="1613"/>
      <c r="H62" s="1613"/>
      <c r="I62" s="1613"/>
      <c r="J62" s="1613"/>
      <c r="K62" s="1613"/>
      <c r="L62" s="1613"/>
      <c r="M62" s="1613"/>
      <c r="N62" s="1613"/>
      <c r="O62" s="1613"/>
      <c r="P62" s="1613"/>
      <c r="Q62" s="1613"/>
      <c r="R62" s="1613"/>
      <c r="S62" s="1613"/>
      <c r="T62" s="1613"/>
      <c r="U62" s="1613"/>
      <c r="V62" s="1613"/>
      <c r="W62" s="1614"/>
      <c r="X62" s="622">
        <v>1560</v>
      </c>
      <c r="Y62" s="643"/>
    </row>
    <row r="63" spans="1:25" s="532" customFormat="1" ht="10.5" customHeight="1" thickBot="1">
      <c r="A63" s="831">
        <v>130803104</v>
      </c>
      <c r="B63" s="1602" t="s">
        <v>611</v>
      </c>
      <c r="C63" s="1603"/>
      <c r="D63" s="1603"/>
      <c r="E63" s="1603"/>
      <c r="F63" s="1603"/>
      <c r="G63" s="1603"/>
      <c r="H63" s="1603"/>
      <c r="I63" s="1603"/>
      <c r="J63" s="1603"/>
      <c r="K63" s="1603"/>
      <c r="L63" s="1603"/>
      <c r="M63" s="1603"/>
      <c r="N63" s="1603"/>
      <c r="O63" s="1603"/>
      <c r="P63" s="1603"/>
      <c r="Q63" s="1603"/>
      <c r="R63" s="1603"/>
      <c r="S63" s="1603"/>
      <c r="T63" s="1603"/>
      <c r="U63" s="1603"/>
      <c r="V63" s="1603"/>
      <c r="W63" s="1604"/>
      <c r="X63" s="622">
        <f>Лист1!A1*560</f>
        <v>616</v>
      </c>
      <c r="Y63" s="643"/>
    </row>
    <row r="64" spans="1:25" s="532" customFormat="1" ht="10.5" customHeight="1" thickBot="1">
      <c r="A64" s="831">
        <v>1512004</v>
      </c>
      <c r="B64" s="1602" t="s">
        <v>612</v>
      </c>
      <c r="C64" s="1603"/>
      <c r="D64" s="1603"/>
      <c r="E64" s="1603"/>
      <c r="F64" s="1603"/>
      <c r="G64" s="1603"/>
      <c r="H64" s="1603"/>
      <c r="I64" s="1603"/>
      <c r="J64" s="1603"/>
      <c r="K64" s="1603"/>
      <c r="L64" s="1603"/>
      <c r="M64" s="1603"/>
      <c r="N64" s="1603"/>
      <c r="O64" s="1603"/>
      <c r="P64" s="1603"/>
      <c r="Q64" s="1603"/>
      <c r="R64" s="1603"/>
      <c r="S64" s="1603"/>
      <c r="T64" s="1603"/>
      <c r="U64" s="1603"/>
      <c r="V64" s="1603"/>
      <c r="W64" s="1604"/>
      <c r="X64" s="622">
        <f>Лист1!A1*17200</f>
        <v>18920</v>
      </c>
      <c r="Y64" s="643"/>
    </row>
    <row r="65" spans="1:25" s="532" customFormat="1" ht="10.5" customHeight="1" thickBot="1">
      <c r="A65" s="831">
        <v>1512005</v>
      </c>
      <c r="B65" s="1605" t="s">
        <v>613</v>
      </c>
      <c r="C65" s="1606"/>
      <c r="D65" s="1606"/>
      <c r="E65" s="1606"/>
      <c r="F65" s="1606"/>
      <c r="G65" s="1606"/>
      <c r="H65" s="1606"/>
      <c r="I65" s="1606"/>
      <c r="J65" s="1606"/>
      <c r="K65" s="1606"/>
      <c r="L65" s="1606"/>
      <c r="M65" s="1606"/>
      <c r="N65" s="1606"/>
      <c r="O65" s="1606"/>
      <c r="P65" s="1606"/>
      <c r="Q65" s="1606"/>
      <c r="R65" s="1606"/>
      <c r="S65" s="1606"/>
      <c r="T65" s="1606"/>
      <c r="U65" s="1606"/>
      <c r="V65" s="1606"/>
      <c r="W65" s="1607"/>
      <c r="X65" s="636">
        <f>Лист1!A1*17600</f>
        <v>19360</v>
      </c>
      <c r="Y65" s="643"/>
    </row>
    <row r="66" spans="1:25" s="532" customFormat="1" ht="10.5" customHeight="1" thickBot="1">
      <c r="A66" s="832">
        <v>1412063</v>
      </c>
      <c r="B66" s="1608" t="s">
        <v>614</v>
      </c>
      <c r="C66" s="1609"/>
      <c r="D66" s="1609"/>
      <c r="E66" s="1609"/>
      <c r="F66" s="1609"/>
      <c r="G66" s="1609"/>
      <c r="H66" s="1609"/>
      <c r="I66" s="1609"/>
      <c r="J66" s="1609"/>
      <c r="K66" s="1609"/>
      <c r="L66" s="1609"/>
      <c r="M66" s="1609"/>
      <c r="N66" s="1609"/>
      <c r="O66" s="1609"/>
      <c r="P66" s="1609"/>
      <c r="Q66" s="1609"/>
      <c r="R66" s="1609"/>
      <c r="S66" s="1609"/>
      <c r="T66" s="1609"/>
      <c r="U66" s="1609"/>
      <c r="V66" s="1609"/>
      <c r="W66" s="1610"/>
      <c r="X66" s="625">
        <f>Лист1!A1*3510</f>
        <v>3861.0000000000005</v>
      </c>
      <c r="Y66" s="643"/>
    </row>
    <row r="67" spans="1:25" s="532" customFormat="1" ht="10.5" customHeight="1" thickBot="1">
      <c r="A67" s="841" t="s">
        <v>582</v>
      </c>
      <c r="B67" s="1611" t="s">
        <v>615</v>
      </c>
      <c r="C67" s="1611"/>
      <c r="D67" s="1611"/>
      <c r="E67" s="1611"/>
      <c r="F67" s="1611"/>
      <c r="G67" s="1611"/>
      <c r="H67" s="1611"/>
      <c r="I67" s="1611"/>
      <c r="J67" s="1611"/>
      <c r="K67" s="1611"/>
      <c r="L67" s="1611"/>
      <c r="M67" s="1611"/>
      <c r="N67" s="1611"/>
      <c r="O67" s="1611"/>
      <c r="P67" s="1611"/>
      <c r="Q67" s="1611"/>
      <c r="R67" s="1611"/>
      <c r="S67" s="1611"/>
      <c r="T67" s="1611"/>
      <c r="U67" s="1611"/>
      <c r="V67" s="1611"/>
      <c r="W67" s="1611"/>
      <c r="X67" s="642" t="s">
        <v>528</v>
      </c>
      <c r="Y67" s="643"/>
    </row>
    <row r="68" spans="1:25" s="532" customFormat="1" ht="10.5" customHeight="1" thickBot="1">
      <c r="A68" s="831">
        <v>13030391</v>
      </c>
      <c r="B68" s="1593" t="s">
        <v>616</v>
      </c>
      <c r="C68" s="1594"/>
      <c r="D68" s="1594"/>
      <c r="E68" s="1594"/>
      <c r="F68" s="1594"/>
      <c r="G68" s="1594"/>
      <c r="H68" s="1594"/>
      <c r="I68" s="1594"/>
      <c r="J68" s="1594"/>
      <c r="K68" s="1594"/>
      <c r="L68" s="1594"/>
      <c r="M68" s="1594"/>
      <c r="N68" s="1594"/>
      <c r="O68" s="1594"/>
      <c r="P68" s="1594"/>
      <c r="Q68" s="1594"/>
      <c r="R68" s="1594"/>
      <c r="S68" s="1594"/>
      <c r="T68" s="1594"/>
      <c r="U68" s="1594"/>
      <c r="V68" s="1594"/>
      <c r="W68" s="1595"/>
      <c r="X68" s="621">
        <f>Лист1!A1*130</f>
        <v>143</v>
      </c>
      <c r="Y68" s="643"/>
    </row>
    <row r="69" spans="1:25" s="532" customFormat="1" ht="10.5" customHeight="1" thickBot="1">
      <c r="A69" s="842">
        <v>130804113</v>
      </c>
      <c r="B69" s="1596" t="s">
        <v>617</v>
      </c>
      <c r="C69" s="1597"/>
      <c r="D69" s="1597"/>
      <c r="E69" s="1597"/>
      <c r="F69" s="1597"/>
      <c r="G69" s="1597"/>
      <c r="H69" s="1597"/>
      <c r="I69" s="1597"/>
      <c r="J69" s="1597"/>
      <c r="K69" s="1597"/>
      <c r="L69" s="1597"/>
      <c r="M69" s="1597"/>
      <c r="N69" s="1597"/>
      <c r="O69" s="1597"/>
      <c r="P69" s="1597"/>
      <c r="Q69" s="1597"/>
      <c r="R69" s="1597"/>
      <c r="S69" s="1597"/>
      <c r="T69" s="1597"/>
      <c r="U69" s="1597"/>
      <c r="V69" s="1597"/>
      <c r="W69" s="1598"/>
      <c r="X69" s="622">
        <f>Лист1!A1*130</f>
        <v>143</v>
      </c>
      <c r="Y69" s="643"/>
    </row>
    <row r="70" spans="1:25" s="532" customFormat="1" ht="10.5" customHeight="1" thickBot="1">
      <c r="A70" s="842">
        <v>130805104</v>
      </c>
      <c r="B70" s="1596" t="s">
        <v>618</v>
      </c>
      <c r="C70" s="1597"/>
      <c r="D70" s="1597"/>
      <c r="E70" s="1597"/>
      <c r="F70" s="1597"/>
      <c r="G70" s="1597"/>
      <c r="H70" s="1597"/>
      <c r="I70" s="1597"/>
      <c r="J70" s="1597"/>
      <c r="K70" s="1597"/>
      <c r="L70" s="1597"/>
      <c r="M70" s="1597"/>
      <c r="N70" s="1597"/>
      <c r="O70" s="1597"/>
      <c r="P70" s="1597"/>
      <c r="Q70" s="1597"/>
      <c r="R70" s="1597"/>
      <c r="S70" s="1597"/>
      <c r="T70" s="1597"/>
      <c r="U70" s="1597"/>
      <c r="V70" s="1597"/>
      <c r="W70" s="1598"/>
      <c r="X70" s="622">
        <f>Лист1!A1*260</f>
        <v>286</v>
      </c>
      <c r="Y70" s="643"/>
    </row>
    <row r="71" spans="1:25" ht="15.75" thickBot="1">
      <c r="A71" s="842">
        <v>130805116</v>
      </c>
      <c r="B71" s="1599" t="s">
        <v>619</v>
      </c>
      <c r="C71" s="1600"/>
      <c r="D71" s="1600"/>
      <c r="E71" s="1600"/>
      <c r="F71" s="1600"/>
      <c r="G71" s="1600"/>
      <c r="H71" s="1600"/>
      <c r="I71" s="1600"/>
      <c r="J71" s="1600"/>
      <c r="K71" s="1600"/>
      <c r="L71" s="1600"/>
      <c r="M71" s="1600"/>
      <c r="N71" s="1600"/>
      <c r="O71" s="1600"/>
      <c r="P71" s="1600"/>
      <c r="Q71" s="1600"/>
      <c r="R71" s="1600"/>
      <c r="S71" s="1600"/>
      <c r="T71" s="1600"/>
      <c r="U71" s="1600"/>
      <c r="V71" s="1600"/>
      <c r="W71" s="1601"/>
      <c r="X71" s="647">
        <f>Лист1!A1*260</f>
        <v>286</v>
      </c>
      <c r="Y71" s="648"/>
    </row>
    <row r="72" spans="1:24" ht="15">
      <c r="A72" s="425"/>
      <c r="B72" s="425"/>
      <c r="C72" s="425"/>
      <c r="D72" s="425"/>
      <c r="E72" s="425"/>
      <c r="F72" s="425"/>
      <c r="G72" s="425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  <c r="T72" s="425"/>
      <c r="U72" s="425"/>
      <c r="V72" s="425"/>
      <c r="W72" s="98"/>
      <c r="X72" s="649"/>
    </row>
  </sheetData>
  <sheetProtection password="C651" sheet="1"/>
  <mergeCells count="66">
    <mergeCell ref="A2:V2"/>
    <mergeCell ref="A4:V4"/>
    <mergeCell ref="B5:V5"/>
    <mergeCell ref="B6:V6"/>
    <mergeCell ref="B7:V7"/>
    <mergeCell ref="J20:W20"/>
    <mergeCell ref="B9:V9"/>
    <mergeCell ref="F15:W15"/>
    <mergeCell ref="B8:V8"/>
    <mergeCell ref="A10:W10"/>
    <mergeCell ref="H17:W17"/>
    <mergeCell ref="A18:W18"/>
    <mergeCell ref="J19:W19"/>
    <mergeCell ref="A14:W14"/>
    <mergeCell ref="J22:W22"/>
    <mergeCell ref="B38:W38"/>
    <mergeCell ref="N28:W28"/>
    <mergeCell ref="D11:W11"/>
    <mergeCell ref="D12:W12"/>
    <mergeCell ref="D13:W13"/>
    <mergeCell ref="B46:W46"/>
    <mergeCell ref="L26:W26"/>
    <mergeCell ref="B33:W33"/>
    <mergeCell ref="B34:W34"/>
    <mergeCell ref="B35:W35"/>
    <mergeCell ref="B45:W45"/>
    <mergeCell ref="A16:W16"/>
    <mergeCell ref="B47:W47"/>
    <mergeCell ref="B49:W49"/>
    <mergeCell ref="B36:W36"/>
    <mergeCell ref="J21:W21"/>
    <mergeCell ref="A23:W23"/>
    <mergeCell ref="L24:W24"/>
    <mergeCell ref="L25:W25"/>
    <mergeCell ref="A27:W27"/>
    <mergeCell ref="B32:W32"/>
    <mergeCell ref="A28:K28"/>
    <mergeCell ref="B60:W60"/>
    <mergeCell ref="B61:W61"/>
    <mergeCell ref="B50:W50"/>
    <mergeCell ref="B37:W37"/>
    <mergeCell ref="B39:W39"/>
    <mergeCell ref="B40:W40"/>
    <mergeCell ref="B41:W41"/>
    <mergeCell ref="B42:W42"/>
    <mergeCell ref="B43:W43"/>
    <mergeCell ref="B44:W44"/>
    <mergeCell ref="B62:W62"/>
    <mergeCell ref="B51:W51"/>
    <mergeCell ref="B52:W52"/>
    <mergeCell ref="B53:W53"/>
    <mergeCell ref="B54:W54"/>
    <mergeCell ref="B55:W55"/>
    <mergeCell ref="B56:W56"/>
    <mergeCell ref="B57:W57"/>
    <mergeCell ref="B58:W58"/>
    <mergeCell ref="B59:W59"/>
    <mergeCell ref="B68:W68"/>
    <mergeCell ref="B69:W69"/>
    <mergeCell ref="B70:W70"/>
    <mergeCell ref="B71:W71"/>
    <mergeCell ref="B63:W63"/>
    <mergeCell ref="B64:W64"/>
    <mergeCell ref="B65:W65"/>
    <mergeCell ref="B66:W66"/>
    <mergeCell ref="B67:W67"/>
  </mergeCells>
  <hyperlinks>
    <hyperlink ref="W2" r:id="rId1" display="www.darkont.ru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cp:lastPrinted>2012-10-10T06:52:42Z</cp:lastPrinted>
  <dcterms:created xsi:type="dcterms:W3CDTF">2006-09-28T05:33:49Z</dcterms:created>
  <dcterms:modified xsi:type="dcterms:W3CDTF">2012-12-29T08:56:35Z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